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200.233.82\Market Risk\68\Market Risk\Market Risk Team\Analysis\Banks Website Derivatives\Final\Files sent to Structured Products Team\"/>
    </mc:Choice>
  </mc:AlternateContent>
  <workbookProtection workbookAlgorithmName="SHA-512" workbookHashValue="LFlLB6Px1tDmNodpjrULnzhYpXAFo2uDLV1DrKHiVD+Kx3HE3EIcDc7KAtK24YwuyIRdr8hxAyJwEX34mP0Sig==" workbookSaltValue="yofH7B9BeLP/wr75vK6oLA==" workbookSpinCount="100000" lockStructure="1"/>
  <bookViews>
    <workbookView xWindow="0" yWindow="0" windowWidth="20490" windowHeight="7755" firstSheet="2" activeTab="2"/>
  </bookViews>
  <sheets>
    <sheet name="Option Value " sheetId="1" state="hidden" r:id="rId1"/>
    <sheet name="Option Value  (2)" sheetId="4" state="hidden" r:id="rId2"/>
    <sheet name="Options" sheetId="2" r:id="rId3"/>
    <sheet name="Premium" sheetId="3" state="hidden" r:id="rId4"/>
  </sheets>
  <calcPr calcId="152511"/>
</workbook>
</file>

<file path=xl/calcChain.xml><?xml version="1.0" encoding="utf-8"?>
<calcChain xmlns="http://schemas.openxmlformats.org/spreadsheetml/2006/main">
  <c r="B17" i="2" l="1"/>
  <c r="I7" i="4" l="1"/>
  <c r="B5" i="4"/>
  <c r="I6" i="4"/>
  <c r="B5" i="1" l="1"/>
  <c r="I7" i="1" s="1"/>
  <c r="D4" i="3"/>
  <c r="D5" i="3"/>
  <c r="B7" i="4"/>
  <c r="B9" i="4"/>
  <c r="B8" i="4"/>
  <c r="H3" i="4"/>
  <c r="D6" i="3"/>
  <c r="D7" i="3"/>
  <c r="D8" i="3"/>
  <c r="D9" i="3"/>
  <c r="D10" i="3"/>
  <c r="D11" i="3"/>
  <c r="D12" i="3"/>
  <c r="D13" i="3"/>
  <c r="D14" i="3"/>
  <c r="D15" i="3"/>
  <c r="D16" i="3"/>
  <c r="D17" i="3"/>
  <c r="D18" i="3"/>
  <c r="D19" i="3"/>
  <c r="D20" i="3"/>
  <c r="B12" i="1"/>
  <c r="J21" i="1"/>
  <c r="B12" i="4"/>
  <c r="J12" i="4" s="1"/>
  <c r="J21" i="4"/>
  <c r="B14" i="4"/>
  <c r="B13" i="4"/>
  <c r="B11" i="4"/>
  <c r="B10" i="4"/>
  <c r="B6" i="4"/>
  <c r="B4" i="4"/>
  <c r="B14" i="1"/>
  <c r="B13" i="1"/>
  <c r="B11" i="1"/>
  <c r="B10" i="1"/>
  <c r="B9" i="1"/>
  <c r="B8" i="1"/>
  <c r="H3" i="1"/>
  <c r="B6" i="1"/>
  <c r="B7" i="1"/>
  <c r="G34" i="4"/>
  <c r="G33" i="4"/>
  <c r="B4" i="1"/>
  <c r="G10" i="1" s="1"/>
  <c r="G34" i="1"/>
  <c r="G33" i="1"/>
  <c r="I12" i="4"/>
  <c r="D22" i="3"/>
  <c r="J12" i="1"/>
  <c r="G10" i="4" l="1"/>
  <c r="I8" i="4"/>
  <c r="I10" i="4" s="1"/>
  <c r="J6" i="4"/>
  <c r="J8" i="4" s="1"/>
  <c r="J28" i="4" s="1"/>
  <c r="J20" i="4"/>
  <c r="J22" i="4" s="1"/>
  <c r="J20" i="1"/>
  <c r="J22" i="1" s="1"/>
  <c r="J27" i="4"/>
  <c r="J15" i="4"/>
  <c r="I6" i="1"/>
  <c r="B20" i="4" l="1"/>
  <c r="B21" i="4"/>
  <c r="B22" i="4" s="1"/>
  <c r="B25" i="4"/>
  <c r="I8" i="1"/>
  <c r="I12" i="1"/>
  <c r="J27" i="1" s="1"/>
  <c r="J6" i="1"/>
  <c r="J8" i="1" s="1"/>
  <c r="B28" i="4" l="1"/>
  <c r="B23" i="4"/>
  <c r="B20" i="1"/>
  <c r="J28" i="1"/>
  <c r="I10" i="1"/>
  <c r="J15" i="1"/>
  <c r="B21" i="1"/>
  <c r="B25" i="1"/>
  <c r="B27" i="4"/>
  <c r="B24" i="4"/>
  <c r="B26" i="4" s="1"/>
  <c r="B30" i="4" l="1"/>
  <c r="B22" i="1"/>
  <c r="B28" i="1"/>
  <c r="B23" i="1"/>
  <c r="B29" i="4"/>
  <c r="B15" i="2" s="1"/>
  <c r="B24" i="1" l="1"/>
  <c r="B26" i="1" s="1"/>
  <c r="B27" i="1"/>
  <c r="B30" i="1" s="1"/>
  <c r="B29" i="1" l="1"/>
</calcChain>
</file>

<file path=xl/sharedStrings.xml><?xml version="1.0" encoding="utf-8"?>
<sst xmlns="http://schemas.openxmlformats.org/spreadsheetml/2006/main" count="85" uniqueCount="56">
  <si>
    <t>Input Data</t>
  </si>
  <si>
    <t>d1</t>
  </si>
  <si>
    <t>d2</t>
  </si>
  <si>
    <t>N(d1)</t>
  </si>
  <si>
    <t>Strike</t>
  </si>
  <si>
    <t>Spot</t>
  </si>
  <si>
    <t>Expiry Date</t>
  </si>
  <si>
    <t>Dollar Rate</t>
  </si>
  <si>
    <t xml:space="preserve">Forward Yield </t>
  </si>
  <si>
    <t xml:space="preserve">Present Value </t>
  </si>
  <si>
    <t>N(-d2)</t>
  </si>
  <si>
    <t>N(d2)</t>
  </si>
  <si>
    <t>N(d2)*</t>
  </si>
  <si>
    <t>N(-d1)</t>
  </si>
  <si>
    <t>Tr</t>
  </si>
  <si>
    <t>Td</t>
  </si>
  <si>
    <t xml:space="preserve">Output Data </t>
  </si>
  <si>
    <t xml:space="preserve">Notional </t>
  </si>
  <si>
    <t>Value of Call(in INR)</t>
  </si>
  <si>
    <t>Value of Put(in INR)</t>
  </si>
  <si>
    <t xml:space="preserve">Spot Date </t>
  </si>
  <si>
    <t xml:space="preserve">Delivery Date </t>
  </si>
  <si>
    <t>Side(Buy/Sell)</t>
  </si>
  <si>
    <t>Forward Points(Bid)</t>
  </si>
  <si>
    <t>Forward Points(Offer)</t>
  </si>
  <si>
    <t xml:space="preserve">Volatility (Bid) </t>
  </si>
  <si>
    <t xml:space="preserve">Volatility (Offer) </t>
  </si>
  <si>
    <t>Buy</t>
  </si>
  <si>
    <t>Sell Call</t>
  </si>
  <si>
    <t xml:space="preserve">Today's Date </t>
  </si>
  <si>
    <t>Spot Date</t>
  </si>
  <si>
    <t>Expiry date</t>
  </si>
  <si>
    <t>Delivery Date</t>
  </si>
  <si>
    <t>Spot Reference</t>
  </si>
  <si>
    <t>Volatilty</t>
  </si>
  <si>
    <t>Net Price</t>
  </si>
  <si>
    <t>This Pricing Template is prepared by Axis Bank Treasury Front Office and is purely for illustration purpose. The template provides indicative market prices on the options undertaken by client using market levels in spot, forward and volatility. The client may obtain these input levels from Axis Bank Treasury. The prices arrived at herein may differ from the actual prices prevailing in the market including that as quoted by Axis Bank Treasury while unwinding. This template is intended for personal use of client. The client is advised to check the dealable prices from Treasury Front Office at all times so as to make informed decision on the risk arising from the structure and not rely on the output of the template alone.</t>
  </si>
  <si>
    <t>Client is required to fill input cells (grey colored) to arrive at prices</t>
  </si>
  <si>
    <t>Client can see the output in green colored cells</t>
  </si>
  <si>
    <t>Payment Date</t>
  </si>
  <si>
    <t>Value</t>
  </si>
  <si>
    <t>Client has to take into account the premium in "Premium" Sheet</t>
  </si>
  <si>
    <t>The net mtm is equal to the sum of the Net Price of options for each maturity 
- Present value of the premium from the 'Premium' Sheet</t>
  </si>
  <si>
    <t>Present value of the premium payment</t>
  </si>
  <si>
    <t>Discount factor</t>
  </si>
  <si>
    <t>Client is required to fill input cells (grey colored)</t>
  </si>
  <si>
    <t>Client can see the present value of the premiums in green colored cell</t>
  </si>
  <si>
    <t xml:space="preserve">Client may obtain the input values of discount factor from Axis Bank Treasury. </t>
  </si>
  <si>
    <t>Premium outstanding (Zero for payments already made)</t>
  </si>
  <si>
    <t>Pricing Template</t>
  </si>
  <si>
    <t>Notional (FCY)</t>
  </si>
  <si>
    <t>FCY Depo Rate</t>
  </si>
  <si>
    <t xml:space="preserve">Premium </t>
  </si>
  <si>
    <t xml:space="preserve">Forward Points </t>
  </si>
  <si>
    <t>(- means client to pay)</t>
  </si>
  <si>
    <t>( + means client to receive)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</si>
</sst>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0.0000"/>
    <numFmt numFmtId="166" formatCode="0.000000"/>
    <numFmt numFmtId="167" formatCode="0.00000"/>
    <numFmt numFmtId="168" formatCode="0.000000%"/>
    <numFmt numFmtId="169" formatCode="_(* #,##0_);_(* \(#,##0\);_(* &quot;-&quot;??_);_(@_)"/>
    <numFmt numFmtId="170" formatCode="[$-409]d\-mmm\-yy;@"/>
    <numFmt numFmtId="171" formatCode="#,##0.0000"/>
  </numFmts>
  <fonts count="13" x14ac:knownFonts="1">
    <font>
      <sz val="10"/>
      <name val="Arial"/>
    </font>
    <font>
      <sz val="10"/>
      <name val="Arial"/>
      <family val="2"/>
    </font>
    <font>
      <b/>
      <sz val="10"/>
      <name val="Arial"/>
      <family val="2"/>
    </font>
    <font>
      <b/>
      <i/>
      <sz val="10"/>
      <name val="Arial"/>
      <family val="2"/>
    </font>
    <font>
      <sz val="10"/>
      <name val="Arial"/>
      <family val="2"/>
    </font>
    <font>
      <sz val="10"/>
      <name val="Arial"/>
      <family val="2"/>
    </font>
    <font>
      <sz val="10"/>
      <name val="Arial"/>
      <family val="2"/>
    </font>
    <font>
      <sz val="16"/>
      <name val="Arial"/>
      <family val="2"/>
    </font>
    <font>
      <sz val="12"/>
      <name val="Arial"/>
      <family val="2"/>
    </font>
    <font>
      <b/>
      <sz val="12"/>
      <name val="Arial"/>
      <family val="2"/>
    </font>
    <font>
      <i/>
      <sz val="12"/>
      <name val="Arial"/>
      <family val="2"/>
    </font>
    <font>
      <sz val="10"/>
      <color rgb="FFFF0000"/>
      <name val="Arial"/>
      <family val="2"/>
    </font>
    <font>
      <b/>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92D050"/>
        <bgColor indexed="64"/>
      </patternFill>
    </fill>
  </fills>
  <borders count="1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4" fillId="0" borderId="0" xfId="0" applyFont="1"/>
    <xf numFmtId="10" fontId="0" fillId="0" borderId="0" xfId="2" applyNumberFormat="1" applyFont="1"/>
    <xf numFmtId="10" fontId="0" fillId="0" borderId="0" xfId="0" applyNumberFormat="1"/>
    <xf numFmtId="1" fontId="4" fillId="2" borderId="1" xfId="0" applyNumberFormat="1" applyFont="1" applyFill="1" applyBorder="1"/>
    <xf numFmtId="0" fontId="3" fillId="2" borderId="2" xfId="0" applyFont="1" applyFill="1" applyBorder="1"/>
    <xf numFmtId="0" fontId="2" fillId="2" borderId="2" xfId="0" applyFont="1" applyFill="1" applyBorder="1"/>
    <xf numFmtId="0" fontId="11" fillId="0" borderId="2" xfId="0" applyFont="1" applyBorder="1"/>
    <xf numFmtId="0" fontId="0" fillId="2" borderId="2" xfId="0" applyFill="1" applyBorder="1"/>
    <xf numFmtId="0" fontId="4" fillId="0" borderId="2" xfId="0" applyFont="1" applyBorder="1"/>
    <xf numFmtId="0" fontId="4" fillId="2" borderId="2" xfId="0" applyFont="1" applyFill="1" applyBorder="1"/>
    <xf numFmtId="168" fontId="0" fillId="0" borderId="0" xfId="2" applyNumberFormat="1" applyFont="1"/>
    <xf numFmtId="15" fontId="0" fillId="0" borderId="0" xfId="0" applyNumberFormat="1"/>
    <xf numFmtId="164" fontId="0" fillId="0" borderId="0" xfId="0" applyNumberFormat="1"/>
    <xf numFmtId="1" fontId="4" fillId="2" borderId="0" xfId="0" applyNumberFormat="1" applyFont="1" applyFill="1" applyBorder="1"/>
    <xf numFmtId="9" fontId="0" fillId="0" borderId="0" xfId="0" applyNumberFormat="1"/>
    <xf numFmtId="167" fontId="0" fillId="0" borderId="0" xfId="0" applyNumberFormat="1"/>
    <xf numFmtId="0" fontId="2" fillId="2" borderId="2" xfId="0" applyFont="1" applyFill="1" applyBorder="1" applyProtection="1">
      <protection hidden="1"/>
    </xf>
    <xf numFmtId="0" fontId="2" fillId="2" borderId="2" xfId="0" applyFont="1" applyFill="1" applyBorder="1" applyAlignment="1" applyProtection="1">
      <alignment horizontal="right"/>
      <protection hidden="1"/>
    </xf>
    <xf numFmtId="2" fontId="0" fillId="2" borderId="2" xfId="0" applyNumberFormat="1" applyFill="1" applyBorder="1" applyProtection="1">
      <protection hidden="1"/>
    </xf>
    <xf numFmtId="14" fontId="4" fillId="2" borderId="2" xfId="0" applyNumberFormat="1" applyFont="1" applyFill="1" applyBorder="1" applyProtection="1">
      <protection hidden="1"/>
    </xf>
    <xf numFmtId="169" fontId="6" fillId="2" borderId="2" xfId="1" applyNumberFormat="1" applyFont="1" applyFill="1" applyBorder="1" applyProtection="1">
      <protection hidden="1"/>
    </xf>
    <xf numFmtId="1" fontId="5" fillId="2" borderId="2" xfId="2" applyNumberFormat="1" applyFont="1" applyFill="1" applyBorder="1" applyProtection="1">
      <protection hidden="1"/>
    </xf>
    <xf numFmtId="10" fontId="0" fillId="2" borderId="2" xfId="0" applyNumberFormat="1" applyFill="1" applyBorder="1" applyProtection="1">
      <protection hidden="1"/>
    </xf>
    <xf numFmtId="0" fontId="0" fillId="0" borderId="0" xfId="0" applyProtection="1">
      <protection hidden="1"/>
    </xf>
    <xf numFmtId="0" fontId="0" fillId="2" borderId="2" xfId="0" applyFill="1" applyBorder="1" applyProtection="1">
      <protection hidden="1"/>
    </xf>
    <xf numFmtId="166" fontId="0" fillId="3" borderId="2" xfId="0" applyNumberFormat="1" applyFill="1" applyBorder="1" applyProtection="1">
      <protection hidden="1"/>
    </xf>
    <xf numFmtId="165" fontId="0" fillId="0" borderId="2" xfId="0" applyNumberFormat="1" applyBorder="1" applyProtection="1">
      <protection hidden="1"/>
    </xf>
    <xf numFmtId="2" fontId="0" fillId="0" borderId="2" xfId="0" applyNumberFormat="1" applyBorder="1" applyProtection="1">
      <protection hidden="1"/>
    </xf>
    <xf numFmtId="43" fontId="2" fillId="2" borderId="2" xfId="1" applyFont="1" applyFill="1" applyBorder="1" applyProtection="1">
      <protection hidden="1"/>
    </xf>
    <xf numFmtId="0" fontId="0" fillId="0" borderId="2" xfId="0" applyBorder="1"/>
    <xf numFmtId="0" fontId="4" fillId="0" borderId="2" xfId="0" applyFont="1" applyFill="1" applyBorder="1"/>
    <xf numFmtId="0" fontId="0" fillId="0" borderId="2" xfId="0" applyBorder="1" applyProtection="1">
      <protection hidden="1"/>
    </xf>
    <xf numFmtId="0" fontId="8" fillId="0" borderId="2" xfId="0" applyFont="1" applyBorder="1" applyProtection="1">
      <protection hidden="1"/>
    </xf>
    <xf numFmtId="170" fontId="8" fillId="0" borderId="2" xfId="1" applyNumberFormat="1" applyFont="1" applyBorder="1" applyAlignment="1" applyProtection="1">
      <alignment horizontal="center" vertical="justify"/>
      <protection hidden="1"/>
    </xf>
    <xf numFmtId="0" fontId="8" fillId="0" borderId="2" xfId="0" applyFont="1" applyBorder="1" applyAlignment="1" applyProtection="1">
      <protection hidden="1"/>
    </xf>
    <xf numFmtId="4" fontId="8" fillId="0" borderId="2" xfId="1" applyNumberFormat="1" applyFont="1" applyBorder="1" applyAlignment="1" applyProtection="1">
      <alignment horizontal="center" vertical="justify"/>
      <protection hidden="1"/>
    </xf>
    <xf numFmtId="43" fontId="12" fillId="4" borderId="3" xfId="1" applyFont="1" applyFill="1" applyBorder="1" applyAlignment="1" applyProtection="1">
      <protection locked="0" hidden="1"/>
    </xf>
    <xf numFmtId="0" fontId="8" fillId="0" borderId="2" xfId="0" applyFont="1" applyBorder="1" applyAlignment="1" applyProtection="1">
      <alignment wrapText="1"/>
      <protection hidden="1"/>
    </xf>
    <xf numFmtId="4" fontId="9" fillId="0" borderId="2" xfId="1" applyNumberFormat="1" applyFont="1" applyBorder="1" applyAlignment="1" applyProtection="1">
      <alignment horizontal="center" vertical="justify"/>
      <protection locked="0" hidden="1"/>
    </xf>
    <xf numFmtId="4" fontId="9" fillId="5" borderId="3" xfId="0" applyNumberFormat="1" applyFont="1" applyFill="1" applyBorder="1" applyAlignment="1" applyProtection="1">
      <alignment vertical="center" wrapText="1"/>
      <protection hidden="1"/>
    </xf>
    <xf numFmtId="0" fontId="7" fillId="0" borderId="2" xfId="0" applyFont="1" applyBorder="1" applyAlignment="1" applyProtection="1">
      <alignment horizontal="center"/>
      <protection hidden="1"/>
    </xf>
    <xf numFmtId="15" fontId="12" fillId="4" borderId="3" xfId="0" applyNumberFormat="1" applyFont="1" applyFill="1" applyBorder="1" applyAlignment="1" applyProtection="1">
      <alignment horizontal="center"/>
      <protection locked="0" hidden="1"/>
    </xf>
    <xf numFmtId="15" fontId="12" fillId="4" borderId="4" xfId="0" applyNumberFormat="1" applyFont="1" applyFill="1" applyBorder="1" applyAlignment="1" applyProtection="1">
      <alignment horizontal="center"/>
      <protection locked="0" hidden="1"/>
    </xf>
    <xf numFmtId="15" fontId="12" fillId="4" borderId="5" xfId="0" applyNumberFormat="1" applyFont="1" applyFill="1" applyBorder="1" applyAlignment="1" applyProtection="1">
      <alignment horizontal="center"/>
      <protection locked="0" hidden="1"/>
    </xf>
    <xf numFmtId="15" fontId="12" fillId="4" borderId="2" xfId="0" applyNumberFormat="1" applyFont="1" applyFill="1" applyBorder="1" applyAlignment="1" applyProtection="1">
      <alignment horizontal="center"/>
      <protection locked="0" hidden="1"/>
    </xf>
    <xf numFmtId="0" fontId="12" fillId="4" borderId="2" xfId="0" applyFont="1" applyFill="1" applyBorder="1" applyAlignment="1" applyProtection="1">
      <alignment horizontal="center"/>
      <protection locked="0" hidden="1"/>
    </xf>
    <xf numFmtId="0" fontId="12" fillId="4" borderId="2" xfId="0" applyFont="1" applyFill="1" applyBorder="1" applyAlignment="1" applyProtection="1">
      <alignment horizontal="center" wrapText="1"/>
      <protection locked="0" hidden="1"/>
    </xf>
    <xf numFmtId="164" fontId="12" fillId="4" borderId="2" xfId="0" applyNumberFormat="1" applyFont="1" applyFill="1" applyBorder="1" applyAlignment="1" applyProtection="1">
      <alignment horizontal="center"/>
      <protection locked="0" hidden="1"/>
    </xf>
    <xf numFmtId="0" fontId="9" fillId="0" borderId="3" xfId="0" applyFont="1" applyBorder="1" applyAlignment="1" applyProtection="1">
      <alignment horizontal="center"/>
      <protection hidden="1"/>
    </xf>
    <xf numFmtId="0" fontId="9" fillId="0" borderId="4" xfId="0" applyFont="1" applyBorder="1" applyAlignment="1" applyProtection="1">
      <alignment horizontal="center"/>
      <protection hidden="1"/>
    </xf>
    <xf numFmtId="0" fontId="9" fillId="0" borderId="5" xfId="0" applyFont="1" applyBorder="1" applyAlignment="1" applyProtection="1">
      <alignment horizontal="center"/>
      <protection hidden="1"/>
    </xf>
    <xf numFmtId="170" fontId="12" fillId="4" borderId="3" xfId="1" applyNumberFormat="1" applyFont="1" applyFill="1" applyBorder="1" applyAlignment="1" applyProtection="1">
      <alignment horizontal="center" vertical="justify"/>
      <protection locked="0" hidden="1"/>
    </xf>
    <xf numFmtId="170" fontId="12" fillId="4" borderId="4" xfId="1" applyNumberFormat="1" applyFont="1" applyFill="1" applyBorder="1" applyAlignment="1" applyProtection="1">
      <alignment horizontal="center" vertical="justify"/>
      <protection locked="0" hidden="1"/>
    </xf>
    <xf numFmtId="170" fontId="12" fillId="4" borderId="5" xfId="1" applyNumberFormat="1" applyFont="1" applyFill="1" applyBorder="1" applyAlignment="1" applyProtection="1">
      <alignment horizontal="center" vertical="justify"/>
      <protection locked="0" hidden="1"/>
    </xf>
    <xf numFmtId="171" fontId="12" fillId="4" borderId="3" xfId="1" applyNumberFormat="1" applyFont="1" applyFill="1" applyBorder="1" applyAlignment="1" applyProtection="1">
      <alignment horizontal="center" vertical="justify"/>
      <protection locked="0" hidden="1"/>
    </xf>
    <xf numFmtId="171" fontId="12" fillId="4" borderId="4" xfId="1" applyNumberFormat="1" applyFont="1" applyFill="1" applyBorder="1" applyAlignment="1" applyProtection="1">
      <alignment horizontal="center" vertical="justify"/>
      <protection locked="0" hidden="1"/>
    </xf>
    <xf numFmtId="171" fontId="12" fillId="4" borderId="5" xfId="1" applyNumberFormat="1" applyFont="1" applyFill="1" applyBorder="1" applyAlignment="1" applyProtection="1">
      <alignment horizontal="center" vertical="justify"/>
      <protection locked="0" hidden="1"/>
    </xf>
    <xf numFmtId="4" fontId="12" fillId="4" borderId="3" xfId="1" applyNumberFormat="1" applyFont="1" applyFill="1" applyBorder="1" applyAlignment="1" applyProtection="1">
      <alignment horizontal="center" vertical="justify"/>
      <protection locked="0" hidden="1"/>
    </xf>
    <xf numFmtId="4" fontId="12" fillId="4" borderId="4" xfId="1" applyNumberFormat="1" applyFont="1" applyFill="1" applyBorder="1" applyAlignment="1" applyProtection="1">
      <alignment horizontal="center" vertical="justify"/>
      <protection locked="0" hidden="1"/>
    </xf>
    <xf numFmtId="4" fontId="12" fillId="4" borderId="5" xfId="1" applyNumberFormat="1" applyFont="1" applyFill="1" applyBorder="1" applyAlignment="1" applyProtection="1">
      <alignment horizontal="center" vertical="justify"/>
      <protection locked="0" hidden="1"/>
    </xf>
    <xf numFmtId="10" fontId="12" fillId="4" borderId="3" xfId="0" applyNumberFormat="1" applyFont="1" applyFill="1" applyBorder="1" applyAlignment="1" applyProtection="1">
      <alignment horizontal="center"/>
      <protection locked="0" hidden="1"/>
    </xf>
    <xf numFmtId="10" fontId="12" fillId="4" borderId="4" xfId="0" applyNumberFormat="1" applyFont="1" applyFill="1" applyBorder="1" applyAlignment="1" applyProtection="1">
      <alignment horizontal="center"/>
      <protection locked="0" hidden="1"/>
    </xf>
    <xf numFmtId="10" fontId="12" fillId="4" borderId="5" xfId="0" applyNumberFormat="1" applyFont="1" applyFill="1" applyBorder="1" applyAlignment="1" applyProtection="1">
      <alignment horizontal="center"/>
      <protection locked="0" hidden="1"/>
    </xf>
    <xf numFmtId="0" fontId="8" fillId="0" borderId="3"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4" fontId="9" fillId="5" borderId="3" xfId="1" applyNumberFormat="1" applyFont="1" applyFill="1" applyBorder="1" applyAlignment="1" applyProtection="1">
      <alignment horizontal="center"/>
      <protection hidden="1"/>
    </xf>
    <xf numFmtId="4" fontId="9" fillId="5" borderId="4" xfId="1" applyNumberFormat="1" applyFont="1" applyFill="1" applyBorder="1" applyAlignment="1" applyProtection="1">
      <alignment horizontal="center"/>
      <protection hidden="1"/>
    </xf>
    <xf numFmtId="4" fontId="9" fillId="5" borderId="5" xfId="1" applyNumberFormat="1" applyFont="1" applyFill="1" applyBorder="1" applyAlignment="1" applyProtection="1">
      <alignment horizontal="center"/>
      <protection hidden="1"/>
    </xf>
    <xf numFmtId="165" fontId="12" fillId="4" borderId="3" xfId="0" applyNumberFormat="1" applyFont="1" applyFill="1" applyBorder="1" applyAlignment="1" applyProtection="1">
      <alignment horizontal="center"/>
      <protection locked="0" hidden="1"/>
    </xf>
    <xf numFmtId="165" fontId="12" fillId="4" borderId="4" xfId="0" applyNumberFormat="1" applyFont="1" applyFill="1" applyBorder="1" applyAlignment="1" applyProtection="1">
      <alignment horizontal="center"/>
      <protection locked="0" hidden="1"/>
    </xf>
    <xf numFmtId="165" fontId="12" fillId="4" borderId="5" xfId="0" applyNumberFormat="1" applyFont="1" applyFill="1" applyBorder="1" applyAlignment="1" applyProtection="1">
      <alignment horizontal="center"/>
      <protection locked="0" hidden="1"/>
    </xf>
    <xf numFmtId="0" fontId="8" fillId="0" borderId="3"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4" fontId="9" fillId="5" borderId="3" xfId="0" applyNumberFormat="1" applyFont="1" applyFill="1" applyBorder="1" applyAlignment="1" applyProtection="1">
      <alignment horizontal="center" vertical="center" wrapText="1"/>
      <protection hidden="1"/>
    </xf>
    <xf numFmtId="4" fontId="9" fillId="5" borderId="4" xfId="0" applyNumberFormat="1" applyFont="1" applyFill="1" applyBorder="1" applyAlignment="1" applyProtection="1">
      <alignment horizontal="center" vertical="center" wrapText="1"/>
      <protection hidden="1"/>
    </xf>
    <xf numFmtId="4" fontId="9" fillId="5" borderId="5" xfId="0" applyNumberFormat="1" applyFont="1" applyFill="1" applyBorder="1" applyAlignment="1" applyProtection="1">
      <alignment horizontal="center" vertical="center" wrapText="1"/>
      <protection hidden="1"/>
    </xf>
    <xf numFmtId="0" fontId="10" fillId="0" borderId="6" xfId="0" applyNumberFormat="1" applyFont="1" applyBorder="1" applyAlignment="1" applyProtection="1">
      <alignment horizontal="justify" vertical="center" wrapText="1"/>
      <protection locked="0" hidden="1"/>
    </xf>
    <xf numFmtId="0" fontId="10" fillId="0" borderId="7" xfId="0" applyNumberFormat="1" applyFont="1" applyBorder="1" applyAlignment="1" applyProtection="1">
      <alignment horizontal="justify" vertical="center" wrapText="1"/>
      <protection locked="0" hidden="1"/>
    </xf>
    <xf numFmtId="0" fontId="10" fillId="0" borderId="8" xfId="0" applyNumberFormat="1" applyFont="1" applyBorder="1" applyAlignment="1" applyProtection="1">
      <alignment horizontal="justify" vertical="center" wrapText="1"/>
      <protection locked="0" hidden="1"/>
    </xf>
    <xf numFmtId="0" fontId="10" fillId="0" borderId="9" xfId="0" applyNumberFormat="1" applyFont="1" applyBorder="1" applyAlignment="1" applyProtection="1">
      <alignment horizontal="justify" vertical="center" wrapText="1"/>
      <protection locked="0" hidden="1"/>
    </xf>
    <xf numFmtId="0" fontId="10" fillId="0" borderId="0" xfId="0" applyNumberFormat="1" applyFont="1" applyBorder="1" applyAlignment="1" applyProtection="1">
      <alignment horizontal="justify" vertical="center" wrapText="1"/>
      <protection locked="0" hidden="1"/>
    </xf>
    <xf numFmtId="0" fontId="10" fillId="0" borderId="10" xfId="0" applyNumberFormat="1" applyFont="1" applyBorder="1" applyAlignment="1" applyProtection="1">
      <alignment horizontal="justify" vertical="center" wrapText="1"/>
      <protection locked="0" hidden="1"/>
    </xf>
    <xf numFmtId="0" fontId="10" fillId="0" borderId="11" xfId="0" applyNumberFormat="1" applyFont="1" applyBorder="1" applyAlignment="1" applyProtection="1">
      <alignment horizontal="justify" vertical="center" wrapText="1"/>
      <protection locked="0" hidden="1"/>
    </xf>
    <xf numFmtId="0" fontId="10" fillId="0" borderId="12" xfId="0" applyNumberFormat="1" applyFont="1" applyBorder="1" applyAlignment="1" applyProtection="1">
      <alignment horizontal="justify" vertical="center" wrapText="1"/>
      <protection locked="0" hidden="1"/>
    </xf>
    <xf numFmtId="0" fontId="10" fillId="0" borderId="13" xfId="0" applyNumberFormat="1" applyFont="1" applyBorder="1" applyAlignment="1" applyProtection="1">
      <alignment horizontal="justify" vertical="center" wrapText="1"/>
      <protection locked="0" hidden="1"/>
    </xf>
    <xf numFmtId="170" fontId="9" fillId="0" borderId="3" xfId="1" applyNumberFormat="1" applyFont="1" applyBorder="1" applyAlignment="1" applyProtection="1">
      <alignment horizontal="center" vertical="justify"/>
      <protection hidden="1"/>
    </xf>
    <xf numFmtId="170" fontId="9" fillId="0" borderId="4" xfId="1" applyNumberFormat="1" applyFont="1" applyBorder="1" applyAlignment="1" applyProtection="1">
      <alignment horizontal="center" vertical="justify"/>
      <protection hidden="1"/>
    </xf>
    <xf numFmtId="170" fontId="9" fillId="0" borderId="5" xfId="1" applyNumberFormat="1" applyFont="1" applyBorder="1" applyAlignment="1" applyProtection="1">
      <alignment horizontal="center" vertical="justify"/>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5"/>
  <sheetViews>
    <sheetView workbookViewId="0">
      <selection activeCell="B5" sqref="B5"/>
    </sheetView>
  </sheetViews>
  <sheetFormatPr defaultColWidth="14.5703125" defaultRowHeight="12.75" x14ac:dyDescent="0.2"/>
  <cols>
    <col min="1" max="1" width="47.42578125" customWidth="1"/>
    <col min="2" max="2" width="14" bestFit="1" customWidth="1"/>
    <col min="3" max="9" width="14.5703125" customWidth="1"/>
    <col min="10" max="10" width="20.5703125" customWidth="1"/>
    <col min="11" max="13" width="14.5703125" customWidth="1"/>
  </cols>
  <sheetData>
    <row r="1" spans="1:10" x14ac:dyDescent="0.2">
      <c r="A1" s="30"/>
      <c r="B1" s="30"/>
    </row>
    <row r="2" spans="1:10" x14ac:dyDescent="0.2">
      <c r="A2" s="5" t="s">
        <v>0</v>
      </c>
      <c r="B2" s="17"/>
      <c r="H2" s="12">
        <v>41089</v>
      </c>
    </row>
    <row r="3" spans="1:10" x14ac:dyDescent="0.2">
      <c r="A3" s="10" t="s">
        <v>22</v>
      </c>
      <c r="B3" s="18" t="s">
        <v>27</v>
      </c>
      <c r="H3" s="8" t="e">
        <f>B8-H2</f>
        <v>#REF!</v>
      </c>
    </row>
    <row r="4" spans="1:10" x14ac:dyDescent="0.2">
      <c r="A4" s="7" t="s">
        <v>5</v>
      </c>
      <c r="B4" s="19">
        <f>Options!B10</f>
        <v>50</v>
      </c>
    </row>
    <row r="5" spans="1:10" x14ac:dyDescent="0.2">
      <c r="A5" s="7" t="s">
        <v>20</v>
      </c>
      <c r="B5" s="20">
        <f>Options!B5</f>
        <v>43468</v>
      </c>
    </row>
    <row r="6" spans="1:10" x14ac:dyDescent="0.2">
      <c r="A6" s="9" t="s">
        <v>4</v>
      </c>
      <c r="B6" s="19" t="e">
        <f>Options!#REF!</f>
        <v>#REF!</v>
      </c>
      <c r="I6" s="4" t="e">
        <f>B8-B5</f>
        <v>#REF!</v>
      </c>
      <c r="J6" s="1" t="e">
        <f>(1+B12*I6/360)*(B4+B10/100)/B4-1</f>
        <v>#REF!</v>
      </c>
    </row>
    <row r="7" spans="1:10" x14ac:dyDescent="0.2">
      <c r="A7" s="9" t="s">
        <v>17</v>
      </c>
      <c r="B7" s="21" t="e">
        <f>Options!#REF!</f>
        <v>#REF!</v>
      </c>
      <c r="I7" s="14" t="e">
        <f>B9-B5</f>
        <v>#REF!</v>
      </c>
      <c r="J7" s="1"/>
    </row>
    <row r="8" spans="1:10" x14ac:dyDescent="0.2">
      <c r="A8" s="9" t="s">
        <v>6</v>
      </c>
      <c r="B8" s="20" t="e">
        <f>Options!#REF!</f>
        <v>#REF!</v>
      </c>
      <c r="H8" s="1" t="s">
        <v>14</v>
      </c>
      <c r="I8" t="e">
        <f>I6/365</f>
        <v>#REF!</v>
      </c>
      <c r="J8" s="11" t="e">
        <f>J6*365/I6</f>
        <v>#REF!</v>
      </c>
    </row>
    <row r="9" spans="1:10" x14ac:dyDescent="0.2">
      <c r="A9" s="9" t="s">
        <v>21</v>
      </c>
      <c r="B9" s="20" t="e">
        <f>Options!#REF!</f>
        <v>#REF!</v>
      </c>
      <c r="H9" s="1"/>
      <c r="J9" s="11"/>
    </row>
    <row r="10" spans="1:10" x14ac:dyDescent="0.2">
      <c r="A10" s="9" t="s">
        <v>23</v>
      </c>
      <c r="B10" s="22">
        <f>Options!B12*100</f>
        <v>79</v>
      </c>
      <c r="G10" s="16" t="e">
        <f>B6-B4</f>
        <v>#REF!</v>
      </c>
      <c r="H10" s="1" t="s">
        <v>8</v>
      </c>
      <c r="I10" s="2" t="e">
        <f>B10/B4/I8/100</f>
        <v>#REF!</v>
      </c>
    </row>
    <row r="11" spans="1:10" x14ac:dyDescent="0.2">
      <c r="A11" s="9" t="s">
        <v>24</v>
      </c>
      <c r="B11" s="22">
        <f>Options!B12*100</f>
        <v>79</v>
      </c>
      <c r="G11" s="16"/>
      <c r="H11" s="1"/>
      <c r="I11" s="2"/>
    </row>
    <row r="12" spans="1:10" x14ac:dyDescent="0.2">
      <c r="A12" s="9" t="s">
        <v>7</v>
      </c>
      <c r="B12" s="23">
        <f>Options!B11</f>
        <v>2.46E-2</v>
      </c>
      <c r="H12" s="1" t="s">
        <v>15</v>
      </c>
      <c r="I12" t="e">
        <f>I6/360</f>
        <v>#REF!</v>
      </c>
      <c r="J12" s="3">
        <f>B12</f>
        <v>2.46E-2</v>
      </c>
    </row>
    <row r="13" spans="1:10" x14ac:dyDescent="0.2">
      <c r="A13" s="9" t="s">
        <v>25</v>
      </c>
      <c r="B13" s="23" t="e">
        <f>Options!#REF!</f>
        <v>#REF!</v>
      </c>
    </row>
    <row r="14" spans="1:10" x14ac:dyDescent="0.2">
      <c r="A14" s="31" t="s">
        <v>26</v>
      </c>
      <c r="B14" s="23" t="e">
        <f>Options!#REF!</f>
        <v>#REF!</v>
      </c>
    </row>
    <row r="15" spans="1:10" x14ac:dyDescent="0.2">
      <c r="B15" s="24"/>
      <c r="J15" s="13" t="e">
        <f>LN(B6/B4)/I8+B12</f>
        <v>#REF!</v>
      </c>
    </row>
    <row r="16" spans="1:10" x14ac:dyDescent="0.2">
      <c r="B16" s="24"/>
      <c r="J16" s="13"/>
    </row>
    <row r="17" spans="1:10" x14ac:dyDescent="0.2">
      <c r="B17" s="24"/>
      <c r="J17" s="13"/>
    </row>
    <row r="18" spans="1:10" x14ac:dyDescent="0.2">
      <c r="B18" s="24"/>
      <c r="J18" s="13"/>
    </row>
    <row r="19" spans="1:10" x14ac:dyDescent="0.2">
      <c r="A19" s="5" t="s">
        <v>16</v>
      </c>
      <c r="B19" s="25"/>
    </row>
    <row r="20" spans="1:10" x14ac:dyDescent="0.2">
      <c r="A20" s="9" t="s">
        <v>9</v>
      </c>
      <c r="B20" s="26" t="e">
        <f>B4*EXP(-J12*I8)</f>
        <v>#REF!</v>
      </c>
      <c r="J20" t="e">
        <f>LN((B4+B10/100)/B4)*365/I7</f>
        <v>#REF!</v>
      </c>
    </row>
    <row r="21" spans="1:10" x14ac:dyDescent="0.2">
      <c r="A21" s="9" t="s">
        <v>1</v>
      </c>
      <c r="B21" s="27" t="e">
        <f>(LN(B4/B6)+((J22-B12)+B13^2/2)*I8)/B13/(I8)^0.5</f>
        <v>#REF!</v>
      </c>
      <c r="J21">
        <f>B12*365/360</f>
        <v>2.4941666666666671E-2</v>
      </c>
    </row>
    <row r="22" spans="1:10" x14ac:dyDescent="0.2">
      <c r="A22" s="9" t="s">
        <v>2</v>
      </c>
      <c r="B22" s="27" t="e">
        <f>B21-IF(B3="Buy",B14,B13)*(I8)^0.5</f>
        <v>#REF!</v>
      </c>
      <c r="J22" t="e">
        <f>J20+J21</f>
        <v>#REF!</v>
      </c>
    </row>
    <row r="23" spans="1:10" x14ac:dyDescent="0.2">
      <c r="A23" s="9" t="s">
        <v>3</v>
      </c>
      <c r="B23" s="28" t="e">
        <f>NORMDIST(B21,0,1,TRUE)</f>
        <v>#REF!</v>
      </c>
    </row>
    <row r="24" spans="1:10" x14ac:dyDescent="0.2">
      <c r="A24" s="9" t="s">
        <v>11</v>
      </c>
      <c r="B24" s="28" t="e">
        <f>NORMDIST(B22,0,1,TRUE)</f>
        <v>#REF!</v>
      </c>
    </row>
    <row r="25" spans="1:10" x14ac:dyDescent="0.2">
      <c r="A25" s="9"/>
      <c r="B25" s="26" t="e">
        <f>B6*EXP(-J22*I8)</f>
        <v>#REF!</v>
      </c>
    </row>
    <row r="26" spans="1:10" x14ac:dyDescent="0.2">
      <c r="A26" s="9" t="s">
        <v>12</v>
      </c>
      <c r="B26" s="28" t="e">
        <f>B25*B24</f>
        <v>#REF!</v>
      </c>
    </row>
    <row r="27" spans="1:10" x14ac:dyDescent="0.2">
      <c r="A27" s="9" t="s">
        <v>10</v>
      </c>
      <c r="B27" s="28" t="e">
        <f>NORMDIST(-1*B22,0,1,TRUE)</f>
        <v>#REF!</v>
      </c>
      <c r="H27" s="1"/>
      <c r="J27" t="e">
        <f>B4*EXP(-I12*J12)</f>
        <v>#REF!</v>
      </c>
    </row>
    <row r="28" spans="1:10" x14ac:dyDescent="0.2">
      <c r="A28" s="9" t="s">
        <v>13</v>
      </c>
      <c r="B28" s="28" t="e">
        <f>NORMDIST(-1*B21,0,1,TRUE)</f>
        <v>#REF!</v>
      </c>
      <c r="J28" t="e">
        <f>B6*EXP(-I8*J8)</f>
        <v>#REF!</v>
      </c>
    </row>
    <row r="29" spans="1:10" x14ac:dyDescent="0.2">
      <c r="A29" s="6" t="s">
        <v>18</v>
      </c>
      <c r="B29" s="29" t="e">
        <f>(B23*B20-B25*B24)*B7</f>
        <v>#REF!</v>
      </c>
    </row>
    <row r="30" spans="1:10" x14ac:dyDescent="0.2">
      <c r="A30" s="6" t="s">
        <v>19</v>
      </c>
      <c r="B30" s="29" t="e">
        <f>(B25*B27-B20*B28)*B7</f>
        <v>#REF!</v>
      </c>
    </row>
    <row r="33" spans="2:7" x14ac:dyDescent="0.2">
      <c r="G33">
        <f>0.28*56.9</f>
        <v>15.932</v>
      </c>
    </row>
    <row r="34" spans="2:7" x14ac:dyDescent="0.2">
      <c r="G34">
        <f>0.26*56.932</f>
        <v>14.802320000000002</v>
      </c>
    </row>
    <row r="35" spans="2:7" x14ac:dyDescent="0.2">
      <c r="B35" s="15"/>
    </row>
  </sheetData>
  <sheetProtection formatRows="0"/>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workbookViewId="0">
      <selection activeCell="I7" sqref="I7"/>
    </sheetView>
  </sheetViews>
  <sheetFormatPr defaultColWidth="14.5703125" defaultRowHeight="12.75" x14ac:dyDescent="0.2"/>
  <cols>
    <col min="1" max="1" width="47.42578125" customWidth="1"/>
    <col min="2" max="2" width="14" bestFit="1" customWidth="1"/>
    <col min="3" max="9" width="14.5703125" customWidth="1"/>
    <col min="10" max="10" width="20.5703125" customWidth="1"/>
    <col min="11" max="13" width="14.5703125" customWidth="1"/>
  </cols>
  <sheetData>
    <row r="1" spans="1:10" x14ac:dyDescent="0.2">
      <c r="A1" s="30"/>
      <c r="B1" s="30"/>
    </row>
    <row r="2" spans="1:10" x14ac:dyDescent="0.2">
      <c r="A2" s="5" t="s">
        <v>0</v>
      </c>
      <c r="B2" s="17"/>
      <c r="H2" s="12">
        <v>41089</v>
      </c>
    </row>
    <row r="3" spans="1:10" x14ac:dyDescent="0.2">
      <c r="A3" s="10" t="s">
        <v>22</v>
      </c>
      <c r="B3" s="18" t="s">
        <v>27</v>
      </c>
      <c r="H3" s="8">
        <f>B8-H2</f>
        <v>2739</v>
      </c>
    </row>
    <row r="4" spans="1:10" x14ac:dyDescent="0.2">
      <c r="A4" s="7" t="s">
        <v>5</v>
      </c>
      <c r="B4" s="19">
        <f>Options!B10</f>
        <v>50</v>
      </c>
    </row>
    <row r="5" spans="1:10" x14ac:dyDescent="0.2">
      <c r="A5" s="7" t="s">
        <v>20</v>
      </c>
      <c r="B5" s="20">
        <f>Options!B4</f>
        <v>43466</v>
      </c>
    </row>
    <row r="6" spans="1:10" x14ac:dyDescent="0.2">
      <c r="A6" s="9" t="s">
        <v>4</v>
      </c>
      <c r="B6" s="19">
        <f>Options!B8</f>
        <v>50</v>
      </c>
      <c r="I6" s="4">
        <f>B8-B5</f>
        <v>362</v>
      </c>
      <c r="J6" s="1">
        <f>(1+B12*I6/360)*(B4+B10/100)/B4-1</f>
        <v>4.0927505999999836E-2</v>
      </c>
    </row>
    <row r="7" spans="1:10" x14ac:dyDescent="0.2">
      <c r="A7" s="9" t="s">
        <v>17</v>
      </c>
      <c r="B7" s="21">
        <f>Options!B9</f>
        <v>1</v>
      </c>
      <c r="I7" s="14">
        <f>B8-B5</f>
        <v>362</v>
      </c>
      <c r="J7" s="1"/>
    </row>
    <row r="8" spans="1:10" x14ac:dyDescent="0.2">
      <c r="A8" s="9" t="s">
        <v>6</v>
      </c>
      <c r="B8" s="20">
        <f>Options!B6</f>
        <v>43828</v>
      </c>
      <c r="H8" s="1" t="s">
        <v>14</v>
      </c>
      <c r="I8">
        <f>I6/365</f>
        <v>0.99178082191780825</v>
      </c>
      <c r="J8" s="11">
        <f>J6*365/I6</f>
        <v>4.1266684226519169E-2</v>
      </c>
    </row>
    <row r="9" spans="1:10" x14ac:dyDescent="0.2">
      <c r="A9" s="9" t="s">
        <v>21</v>
      </c>
      <c r="B9" s="20">
        <f>Options!B7</f>
        <v>43830</v>
      </c>
      <c r="H9" s="1"/>
      <c r="J9" s="11"/>
    </row>
    <row r="10" spans="1:10" x14ac:dyDescent="0.2">
      <c r="A10" s="9" t="s">
        <v>23</v>
      </c>
      <c r="B10" s="22">
        <f>Options!B12*100</f>
        <v>79</v>
      </c>
      <c r="G10" s="16">
        <f>B6-B4</f>
        <v>0</v>
      </c>
      <c r="H10" s="1" t="s">
        <v>8</v>
      </c>
      <c r="I10" s="2">
        <f>B10/B4/I8/100</f>
        <v>1.5930939226519336E-2</v>
      </c>
    </row>
    <row r="11" spans="1:10" x14ac:dyDescent="0.2">
      <c r="A11" s="9" t="s">
        <v>24</v>
      </c>
      <c r="B11" s="22">
        <f>Options!B12*100</f>
        <v>79</v>
      </c>
      <c r="G11" s="16"/>
      <c r="H11" s="1"/>
      <c r="I11" s="2"/>
    </row>
    <row r="12" spans="1:10" x14ac:dyDescent="0.2">
      <c r="A12" s="9" t="s">
        <v>7</v>
      </c>
      <c r="B12" s="23">
        <f>Options!B11</f>
        <v>2.46E-2</v>
      </c>
      <c r="H12" s="1" t="s">
        <v>15</v>
      </c>
      <c r="I12">
        <f>I6/360</f>
        <v>1.0055555555555555</v>
      </c>
      <c r="J12" s="3">
        <f>B12</f>
        <v>2.46E-2</v>
      </c>
    </row>
    <row r="13" spans="1:10" x14ac:dyDescent="0.2">
      <c r="A13" s="9" t="s">
        <v>25</v>
      </c>
      <c r="B13" s="23">
        <f>Options!B13</f>
        <v>0.08</v>
      </c>
    </row>
    <row r="14" spans="1:10" x14ac:dyDescent="0.2">
      <c r="A14" s="31" t="s">
        <v>26</v>
      </c>
      <c r="B14" s="23">
        <f>Options!B13</f>
        <v>0.08</v>
      </c>
    </row>
    <row r="15" spans="1:10" x14ac:dyDescent="0.2">
      <c r="B15" s="24"/>
      <c r="J15" s="13">
        <f>LN(B6/B4)/I8+B12</f>
        <v>2.46E-2</v>
      </c>
    </row>
    <row r="16" spans="1:10" x14ac:dyDescent="0.2">
      <c r="B16" s="24"/>
      <c r="J16" s="13"/>
    </row>
    <row r="17" spans="1:10" x14ac:dyDescent="0.2">
      <c r="B17" s="24"/>
      <c r="J17" s="13"/>
    </row>
    <row r="18" spans="1:10" x14ac:dyDescent="0.2">
      <c r="B18" s="24"/>
      <c r="J18" s="13"/>
    </row>
    <row r="19" spans="1:10" x14ac:dyDescent="0.2">
      <c r="A19" s="5" t="s">
        <v>16</v>
      </c>
      <c r="B19" s="25"/>
    </row>
    <row r="20" spans="1:10" x14ac:dyDescent="0.2">
      <c r="A20" s="9" t="s">
        <v>9</v>
      </c>
      <c r="B20" s="26">
        <f>B4*EXP(-J12*I8)</f>
        <v>48.794870625866956</v>
      </c>
      <c r="J20">
        <f>LN((B4+B10/100)/B4)*365/I7</f>
        <v>1.5806394960021491E-2</v>
      </c>
    </row>
    <row r="21" spans="1:10" x14ac:dyDescent="0.2">
      <c r="A21" s="9" t="s">
        <v>1</v>
      </c>
      <c r="B21" s="27">
        <f>(LN(B4/B6)+((J22-B12)+B13^2/2)*I8)/B13/(I8)^0.5</f>
        <v>0.2408548123467594</v>
      </c>
      <c r="J21">
        <f>B12*365/360</f>
        <v>2.4941666666666671E-2</v>
      </c>
    </row>
    <row r="22" spans="1:10" x14ac:dyDescent="0.2">
      <c r="A22" s="9" t="s">
        <v>2</v>
      </c>
      <c r="B22" s="27">
        <f>B21-IF(B3="Buy",B14,B13)*(I8)^0.5</f>
        <v>0.16118425780950285</v>
      </c>
      <c r="J22">
        <f>J20+J21</f>
        <v>4.0748061626688162E-2</v>
      </c>
    </row>
    <row r="23" spans="1:10" x14ac:dyDescent="0.2">
      <c r="A23" s="9" t="s">
        <v>3</v>
      </c>
      <c r="B23" s="28">
        <f>NORMDIST(B21,0,1,TRUE)</f>
        <v>0.59516617714022413</v>
      </c>
    </row>
    <row r="24" spans="1:10" x14ac:dyDescent="0.2">
      <c r="A24" s="9" t="s">
        <v>11</v>
      </c>
      <c r="B24" s="28">
        <f>NORMDIST(B22,0,1,TRUE)</f>
        <v>0.56402586027733836</v>
      </c>
    </row>
    <row r="25" spans="1:10" x14ac:dyDescent="0.2">
      <c r="A25" s="9"/>
      <c r="B25" s="26">
        <f>B6*EXP(-J22*I8)</f>
        <v>48.019628738808358</v>
      </c>
    </row>
    <row r="26" spans="1:10" x14ac:dyDescent="0.2">
      <c r="A26" s="9" t="s">
        <v>12</v>
      </c>
      <c r="B26" s="28">
        <f>B25*B24</f>
        <v>27.084312409604784</v>
      </c>
    </row>
    <row r="27" spans="1:10" x14ac:dyDescent="0.2">
      <c r="A27" s="9" t="s">
        <v>10</v>
      </c>
      <c r="B27" s="28">
        <f>NORMDIST(-1*B22,0,1,TRUE)</f>
        <v>0.43597413972266164</v>
      </c>
      <c r="H27" s="1"/>
      <c r="J27">
        <f>B4*EXP(-I12*J12)</f>
        <v>48.778338872881534</v>
      </c>
    </row>
    <row r="28" spans="1:10" x14ac:dyDescent="0.2">
      <c r="A28" s="9" t="s">
        <v>13</v>
      </c>
      <c r="B28" s="28">
        <f>NORMDIST(-1*B21,0,1,TRUE)</f>
        <v>0.40483382285977587</v>
      </c>
      <c r="J28">
        <f>B6*EXP(-I8*J8)</f>
        <v>47.994935716146991</v>
      </c>
    </row>
    <row r="29" spans="1:10" x14ac:dyDescent="0.2">
      <c r="A29" s="6" t="s">
        <v>18</v>
      </c>
      <c r="B29" s="29">
        <f>(B23*B20-B25*B24)*B7</f>
        <v>1.9567442048442665</v>
      </c>
    </row>
    <row r="30" spans="1:10" x14ac:dyDescent="0.2">
      <c r="A30" s="6" t="s">
        <v>19</v>
      </c>
      <c r="B30" s="29">
        <f>(B25*B27-B20*B28)*B7</f>
        <v>1.1815023177856681</v>
      </c>
    </row>
    <row r="33" spans="2:7" x14ac:dyDescent="0.2">
      <c r="G33">
        <f>0.28*56.9</f>
        <v>15.932</v>
      </c>
    </row>
    <row r="34" spans="2:7" x14ac:dyDescent="0.2">
      <c r="G34">
        <f>0.26*56.932</f>
        <v>14.802320000000002</v>
      </c>
    </row>
    <row r="35" spans="2:7" x14ac:dyDescent="0.2">
      <c r="B35" s="15"/>
    </row>
  </sheetData>
  <sheetProtection formatRows="0"/>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1"/>
  <sheetViews>
    <sheetView tabSelected="1" zoomScale="96" zoomScaleNormal="96" workbookViewId="0">
      <selection activeCell="B6" sqref="B6:D6"/>
    </sheetView>
  </sheetViews>
  <sheetFormatPr defaultColWidth="0" defaultRowHeight="12.75" customHeight="1" zeroHeight="1" x14ac:dyDescent="0.2"/>
  <cols>
    <col min="1" max="1" width="28" style="24" customWidth="1"/>
    <col min="2" max="2" width="22.42578125" style="24" customWidth="1"/>
    <col min="3" max="3" width="9.140625" style="24" customWidth="1"/>
    <col min="4" max="4" width="21.28515625" style="24" customWidth="1"/>
    <col min="5" max="16384" width="0" style="24" hidden="1"/>
  </cols>
  <sheetData>
    <row r="1" spans="1:4" ht="20.25" x14ac:dyDescent="0.3">
      <c r="A1" s="41" t="s">
        <v>49</v>
      </c>
      <c r="B1" s="41"/>
      <c r="C1" s="41"/>
      <c r="D1" s="41"/>
    </row>
    <row r="2" spans="1:4" x14ac:dyDescent="0.2">
      <c r="A2" s="32"/>
      <c r="B2" s="32"/>
      <c r="C2" s="32"/>
      <c r="D2" s="32"/>
    </row>
    <row r="3" spans="1:4" ht="15.75" x14ac:dyDescent="0.25">
      <c r="A3" s="33"/>
      <c r="B3" s="49" t="s">
        <v>28</v>
      </c>
      <c r="C3" s="50"/>
      <c r="D3" s="51"/>
    </row>
    <row r="4" spans="1:4" ht="15.75" x14ac:dyDescent="0.25">
      <c r="A4" s="33" t="s">
        <v>29</v>
      </c>
      <c r="B4" s="42">
        <v>43466</v>
      </c>
      <c r="C4" s="43"/>
      <c r="D4" s="44"/>
    </row>
    <row r="5" spans="1:4" ht="15.75" x14ac:dyDescent="0.25">
      <c r="A5" s="33" t="s">
        <v>30</v>
      </c>
      <c r="B5" s="45">
        <v>43468</v>
      </c>
      <c r="C5" s="46"/>
      <c r="D5" s="46"/>
    </row>
    <row r="6" spans="1:4" ht="15.75" x14ac:dyDescent="0.2">
      <c r="A6" s="33" t="s">
        <v>31</v>
      </c>
      <c r="B6" s="52">
        <v>43828</v>
      </c>
      <c r="C6" s="53"/>
      <c r="D6" s="54"/>
    </row>
    <row r="7" spans="1:4" ht="15.75" x14ac:dyDescent="0.2">
      <c r="A7" s="33" t="s">
        <v>32</v>
      </c>
      <c r="B7" s="52">
        <v>43830</v>
      </c>
      <c r="C7" s="53"/>
      <c r="D7" s="54"/>
    </row>
    <row r="8" spans="1:4" ht="15.75" x14ac:dyDescent="0.2">
      <c r="A8" s="35" t="s">
        <v>4</v>
      </c>
      <c r="B8" s="55">
        <v>50</v>
      </c>
      <c r="C8" s="56"/>
      <c r="D8" s="57"/>
    </row>
    <row r="9" spans="1:4" ht="15.75" x14ac:dyDescent="0.2">
      <c r="A9" s="33" t="s">
        <v>50</v>
      </c>
      <c r="B9" s="58">
        <v>1</v>
      </c>
      <c r="C9" s="59"/>
      <c r="D9" s="60"/>
    </row>
    <row r="10" spans="1:4" ht="15.75" x14ac:dyDescent="0.25">
      <c r="A10" s="33" t="s">
        <v>33</v>
      </c>
      <c r="B10" s="47">
        <v>50</v>
      </c>
      <c r="C10" s="46"/>
      <c r="D10" s="46"/>
    </row>
    <row r="11" spans="1:4" ht="15.75" x14ac:dyDescent="0.25">
      <c r="A11" s="33" t="s">
        <v>51</v>
      </c>
      <c r="B11" s="48">
        <v>2.46E-2</v>
      </c>
      <c r="C11" s="48"/>
      <c r="D11" s="48"/>
    </row>
    <row r="12" spans="1:4" ht="15.75" x14ac:dyDescent="0.25">
      <c r="A12" s="33" t="s">
        <v>53</v>
      </c>
      <c r="B12" s="70">
        <v>0.79</v>
      </c>
      <c r="C12" s="71"/>
      <c r="D12" s="72"/>
    </row>
    <row r="13" spans="1:4" ht="15.75" x14ac:dyDescent="0.25">
      <c r="A13" s="33" t="s">
        <v>34</v>
      </c>
      <c r="B13" s="61">
        <v>0.08</v>
      </c>
      <c r="C13" s="62"/>
      <c r="D13" s="63"/>
    </row>
    <row r="14" spans="1:4" ht="15" x14ac:dyDescent="0.2">
      <c r="A14" s="33"/>
      <c r="B14" s="64"/>
      <c r="C14" s="65"/>
      <c r="D14" s="66"/>
    </row>
    <row r="15" spans="1:4" ht="15.75" x14ac:dyDescent="0.25">
      <c r="A15" s="33" t="s">
        <v>52</v>
      </c>
      <c r="B15" s="67">
        <f>'Option Value  (2)'!B29</f>
        <v>1.9567442048442665</v>
      </c>
      <c r="C15" s="68"/>
      <c r="D15" s="69"/>
    </row>
    <row r="16" spans="1:4" ht="15" x14ac:dyDescent="0.2">
      <c r="A16" s="33"/>
      <c r="B16" s="33"/>
      <c r="C16" s="33"/>
      <c r="D16" s="33"/>
    </row>
    <row r="17" spans="1:4" ht="15.75" x14ac:dyDescent="0.2">
      <c r="A17" s="33" t="s">
        <v>35</v>
      </c>
      <c r="B17" s="76">
        <f>-B15</f>
        <v>-1.9567442048442665</v>
      </c>
      <c r="C17" s="77"/>
      <c r="D17" s="78"/>
    </row>
    <row r="18" spans="1:4" ht="15" x14ac:dyDescent="0.2">
      <c r="A18" s="33" t="s">
        <v>55</v>
      </c>
      <c r="B18" s="33"/>
      <c r="C18" s="33"/>
      <c r="D18" s="33"/>
    </row>
    <row r="19" spans="1:4" ht="15" x14ac:dyDescent="0.2">
      <c r="A19" s="33" t="s">
        <v>54</v>
      </c>
      <c r="B19" s="33"/>
      <c r="C19" s="33"/>
      <c r="D19" s="33"/>
    </row>
    <row r="20" spans="1:4" ht="15" x14ac:dyDescent="0.2">
      <c r="A20" s="33"/>
      <c r="B20" s="33"/>
      <c r="C20" s="33"/>
      <c r="D20" s="38"/>
    </row>
    <row r="21" spans="1:4" ht="15" x14ac:dyDescent="0.2">
      <c r="A21" s="33"/>
      <c r="B21" s="33"/>
      <c r="C21" s="33"/>
      <c r="D21" s="33"/>
    </row>
    <row r="22" spans="1:4" ht="15" x14ac:dyDescent="0.2">
      <c r="A22" s="33"/>
      <c r="B22" s="33"/>
      <c r="C22" s="33"/>
      <c r="D22" s="33"/>
    </row>
    <row r="23" spans="1:4" ht="12.75" customHeight="1" x14ac:dyDescent="0.2">
      <c r="A23" s="79" t="s">
        <v>36</v>
      </c>
      <c r="B23" s="80"/>
      <c r="C23" s="80"/>
      <c r="D23" s="81"/>
    </row>
    <row r="24" spans="1:4" ht="12.75" customHeight="1" x14ac:dyDescent="0.2">
      <c r="A24" s="82"/>
      <c r="B24" s="83"/>
      <c r="C24" s="83"/>
      <c r="D24" s="84"/>
    </row>
    <row r="25" spans="1:4" ht="12.75" customHeight="1" x14ac:dyDescent="0.2">
      <c r="A25" s="82"/>
      <c r="B25" s="83"/>
      <c r="C25" s="83"/>
      <c r="D25" s="84"/>
    </row>
    <row r="26" spans="1:4" ht="12.75" customHeight="1" x14ac:dyDescent="0.2">
      <c r="A26" s="82"/>
      <c r="B26" s="83"/>
      <c r="C26" s="83"/>
      <c r="D26" s="84"/>
    </row>
    <row r="27" spans="1:4" ht="12.75" customHeight="1" x14ac:dyDescent="0.2">
      <c r="A27" s="82"/>
      <c r="B27" s="83"/>
      <c r="C27" s="83"/>
      <c r="D27" s="84"/>
    </row>
    <row r="28" spans="1:4" ht="12.75" customHeight="1" x14ac:dyDescent="0.2">
      <c r="A28" s="82"/>
      <c r="B28" s="83"/>
      <c r="C28" s="83"/>
      <c r="D28" s="84"/>
    </row>
    <row r="29" spans="1:4" ht="12.75" customHeight="1" x14ac:dyDescent="0.2">
      <c r="A29" s="82"/>
      <c r="B29" s="83"/>
      <c r="C29" s="83"/>
      <c r="D29" s="84"/>
    </row>
    <row r="30" spans="1:4" ht="12.75" customHeight="1" x14ac:dyDescent="0.2">
      <c r="A30" s="82"/>
      <c r="B30" s="83"/>
      <c r="C30" s="83"/>
      <c r="D30" s="84"/>
    </row>
    <row r="31" spans="1:4" ht="12.75" customHeight="1" x14ac:dyDescent="0.2">
      <c r="A31" s="82"/>
      <c r="B31" s="83"/>
      <c r="C31" s="83"/>
      <c r="D31" s="84"/>
    </row>
    <row r="32" spans="1:4" ht="12.75" customHeight="1" x14ac:dyDescent="0.2">
      <c r="A32" s="82"/>
      <c r="B32" s="83"/>
      <c r="C32" s="83"/>
      <c r="D32" s="84"/>
    </row>
    <row r="33" spans="1:4" ht="12.75" customHeight="1" x14ac:dyDescent="0.2">
      <c r="A33" s="82"/>
      <c r="B33" s="83"/>
      <c r="C33" s="83"/>
      <c r="D33" s="84"/>
    </row>
    <row r="34" spans="1:4" ht="12.75" customHeight="1" x14ac:dyDescent="0.2">
      <c r="A34" s="82"/>
      <c r="B34" s="83"/>
      <c r="C34" s="83"/>
      <c r="D34" s="84"/>
    </row>
    <row r="35" spans="1:4" ht="12.75" customHeight="1" x14ac:dyDescent="0.2">
      <c r="A35" s="82"/>
      <c r="B35" s="83"/>
      <c r="C35" s="83"/>
      <c r="D35" s="84"/>
    </row>
    <row r="36" spans="1:4" ht="12.75" customHeight="1" x14ac:dyDescent="0.2">
      <c r="A36" s="85"/>
      <c r="B36" s="86"/>
      <c r="C36" s="86"/>
      <c r="D36" s="87"/>
    </row>
    <row r="37" spans="1:4" ht="15" x14ac:dyDescent="0.2">
      <c r="A37" s="64" t="s">
        <v>37</v>
      </c>
      <c r="B37" s="65"/>
      <c r="C37" s="65"/>
      <c r="D37" s="66"/>
    </row>
    <row r="38" spans="1:4" ht="15" x14ac:dyDescent="0.2">
      <c r="A38" s="64" t="s">
        <v>38</v>
      </c>
      <c r="B38" s="65"/>
      <c r="C38" s="65"/>
      <c r="D38" s="66"/>
    </row>
    <row r="39" spans="1:4" ht="15" x14ac:dyDescent="0.2">
      <c r="A39" s="64" t="s">
        <v>41</v>
      </c>
      <c r="B39" s="65"/>
      <c r="C39" s="65"/>
      <c r="D39" s="66"/>
    </row>
    <row r="40" spans="1:4" ht="34.5" customHeight="1" x14ac:dyDescent="0.2">
      <c r="A40" s="73" t="s">
        <v>42</v>
      </c>
      <c r="B40" s="74"/>
      <c r="C40" s="74"/>
      <c r="D40" s="75"/>
    </row>
    <row r="41" spans="1:4" x14ac:dyDescent="0.2"/>
  </sheetData>
  <sheetProtection algorithmName="SHA-512" hashValue="dM34PGINEmu1gHDjrwJYe4/88aoaYmuG8Tj792UOsM4f/B0Sv6SYXatGKFD76JpIz6lMHz0uQRmbIREEQyoAGA==" saltValue="zxHWtbtvKSI+bpLBsAeKlA==" spinCount="100000" sheet="1" objects="1" scenarios="1"/>
  <mergeCells count="20">
    <mergeCell ref="B13:D13"/>
    <mergeCell ref="B14:D14"/>
    <mergeCell ref="B15:D15"/>
    <mergeCell ref="B12:D12"/>
    <mergeCell ref="A40:D40"/>
    <mergeCell ref="A39:D39"/>
    <mergeCell ref="B17:D17"/>
    <mergeCell ref="A23:D36"/>
    <mergeCell ref="A37:D37"/>
    <mergeCell ref="A38:D38"/>
    <mergeCell ref="A1:D1"/>
    <mergeCell ref="B4:D4"/>
    <mergeCell ref="B5:D5"/>
    <mergeCell ref="B10:D10"/>
    <mergeCell ref="B11:D11"/>
    <mergeCell ref="B3:D3"/>
    <mergeCell ref="B6:D6"/>
    <mergeCell ref="B7:D7"/>
    <mergeCell ref="B8:D8"/>
    <mergeCell ref="B9:D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D27"/>
  <sheetViews>
    <sheetView workbookViewId="0">
      <selection activeCell="B4" sqref="B4"/>
    </sheetView>
  </sheetViews>
  <sheetFormatPr defaultRowHeight="12.75" x14ac:dyDescent="0.2"/>
  <cols>
    <col min="1" max="1" width="42.5703125" customWidth="1"/>
    <col min="2" max="2" width="18.85546875" bestFit="1" customWidth="1"/>
    <col min="3" max="3" width="13.5703125" bestFit="1" customWidth="1"/>
    <col min="4" max="4" width="16" bestFit="1" customWidth="1"/>
  </cols>
  <sheetData>
    <row r="3" spans="1:4" ht="78.75" x14ac:dyDescent="0.2">
      <c r="A3" s="39" t="s">
        <v>39</v>
      </c>
      <c r="B3" s="39" t="s">
        <v>48</v>
      </c>
      <c r="C3" s="39" t="s">
        <v>44</v>
      </c>
      <c r="D3" s="39" t="s">
        <v>40</v>
      </c>
    </row>
    <row r="4" spans="1:4" ht="15.75" x14ac:dyDescent="0.25">
      <c r="A4" s="34">
        <v>41467</v>
      </c>
      <c r="B4" s="37">
        <v>3315000</v>
      </c>
      <c r="C4" s="37">
        <v>1</v>
      </c>
      <c r="D4" s="36">
        <f t="shared" ref="D4:D20" si="0">C4*B4</f>
        <v>3315000</v>
      </c>
    </row>
    <row r="5" spans="1:4" ht="15.75" x14ac:dyDescent="0.25">
      <c r="A5" s="34">
        <v>41540</v>
      </c>
      <c r="B5" s="37">
        <v>3315000</v>
      </c>
      <c r="C5" s="37">
        <v>1</v>
      </c>
      <c r="D5" s="36">
        <f t="shared" si="0"/>
        <v>3315000</v>
      </c>
    </row>
    <row r="6" spans="1:4" ht="15.75" x14ac:dyDescent="0.25">
      <c r="A6" s="34">
        <v>41631</v>
      </c>
      <c r="B6" s="37">
        <v>3315000</v>
      </c>
      <c r="C6" s="37">
        <v>1</v>
      </c>
      <c r="D6" s="36">
        <f t="shared" si="0"/>
        <v>3315000</v>
      </c>
    </row>
    <row r="7" spans="1:4" ht="15.75" x14ac:dyDescent="0.25">
      <c r="A7" s="34">
        <v>41719</v>
      </c>
      <c r="B7" s="37">
        <v>3315000</v>
      </c>
      <c r="C7" s="37">
        <v>1</v>
      </c>
      <c r="D7" s="36">
        <f t="shared" si="0"/>
        <v>3315000</v>
      </c>
    </row>
    <row r="8" spans="1:4" ht="15.75" x14ac:dyDescent="0.25">
      <c r="A8" s="34">
        <v>41813</v>
      </c>
      <c r="B8" s="37">
        <v>3315000</v>
      </c>
      <c r="C8" s="37">
        <v>1</v>
      </c>
      <c r="D8" s="36">
        <f t="shared" si="0"/>
        <v>3315000</v>
      </c>
    </row>
    <row r="9" spans="1:4" ht="15.75" x14ac:dyDescent="0.25">
      <c r="A9" s="34">
        <v>41904</v>
      </c>
      <c r="B9" s="37">
        <v>3315000</v>
      </c>
      <c r="C9" s="37">
        <v>1</v>
      </c>
      <c r="D9" s="36">
        <f t="shared" si="0"/>
        <v>3315000</v>
      </c>
    </row>
    <row r="10" spans="1:4" ht="15.75" x14ac:dyDescent="0.25">
      <c r="A10" s="34">
        <v>41995</v>
      </c>
      <c r="B10" s="37">
        <v>3315000</v>
      </c>
      <c r="C10" s="37">
        <v>1</v>
      </c>
      <c r="D10" s="36">
        <f t="shared" si="0"/>
        <v>3315000</v>
      </c>
    </row>
    <row r="11" spans="1:4" ht="15.75" x14ac:dyDescent="0.25">
      <c r="A11" s="34">
        <v>42086</v>
      </c>
      <c r="B11" s="37">
        <v>3315000</v>
      </c>
      <c r="C11" s="37">
        <v>1</v>
      </c>
      <c r="D11" s="36">
        <f t="shared" si="0"/>
        <v>3315000</v>
      </c>
    </row>
    <row r="12" spans="1:4" ht="15.75" x14ac:dyDescent="0.25">
      <c r="A12" s="34">
        <v>42177</v>
      </c>
      <c r="B12" s="37">
        <v>3315000</v>
      </c>
      <c r="C12" s="37">
        <v>1</v>
      </c>
      <c r="D12" s="36">
        <f t="shared" si="0"/>
        <v>3315000</v>
      </c>
    </row>
    <row r="13" spans="1:4" ht="15.75" x14ac:dyDescent="0.25">
      <c r="A13" s="34">
        <v>42268</v>
      </c>
      <c r="B13" s="37">
        <v>3315000</v>
      </c>
      <c r="C13" s="37">
        <v>1</v>
      </c>
      <c r="D13" s="36">
        <f t="shared" si="0"/>
        <v>3315000</v>
      </c>
    </row>
    <row r="14" spans="1:4" ht="15.75" x14ac:dyDescent="0.25">
      <c r="A14" s="34">
        <v>42359</v>
      </c>
      <c r="B14" s="37">
        <v>3315000</v>
      </c>
      <c r="C14" s="37">
        <v>1</v>
      </c>
      <c r="D14" s="36">
        <f t="shared" si="0"/>
        <v>3315000</v>
      </c>
    </row>
    <row r="15" spans="1:4" ht="15.75" x14ac:dyDescent="0.25">
      <c r="A15" s="34">
        <v>42450</v>
      </c>
      <c r="B15" s="37">
        <v>3315000</v>
      </c>
      <c r="C15" s="37">
        <v>1</v>
      </c>
      <c r="D15" s="36">
        <f t="shared" si="0"/>
        <v>3315000</v>
      </c>
    </row>
    <row r="16" spans="1:4" ht="15.75" x14ac:dyDescent="0.25">
      <c r="A16" s="34">
        <v>42542</v>
      </c>
      <c r="B16" s="37">
        <v>3315000</v>
      </c>
      <c r="C16" s="37">
        <v>1</v>
      </c>
      <c r="D16" s="36">
        <f t="shared" si="0"/>
        <v>3315000</v>
      </c>
    </row>
    <row r="17" spans="1:4" ht="15.75" x14ac:dyDescent="0.25">
      <c r="A17" s="34">
        <v>42634</v>
      </c>
      <c r="B17" s="37">
        <v>3315000</v>
      </c>
      <c r="C17" s="37">
        <v>1</v>
      </c>
      <c r="D17" s="36">
        <f t="shared" si="0"/>
        <v>3315000</v>
      </c>
    </row>
    <row r="18" spans="1:4" ht="15.75" x14ac:dyDescent="0.25">
      <c r="A18" s="34">
        <v>42725</v>
      </c>
      <c r="B18" s="37">
        <v>3315000</v>
      </c>
      <c r="C18" s="37">
        <v>1</v>
      </c>
      <c r="D18" s="36">
        <f t="shared" si="0"/>
        <v>3315000</v>
      </c>
    </row>
    <row r="19" spans="1:4" ht="15.75" x14ac:dyDescent="0.25">
      <c r="A19" s="34">
        <v>42815</v>
      </c>
      <c r="B19" s="37">
        <v>3315000</v>
      </c>
      <c r="C19" s="37">
        <v>1</v>
      </c>
      <c r="D19" s="36">
        <f t="shared" si="0"/>
        <v>3315000</v>
      </c>
    </row>
    <row r="20" spans="1:4" ht="15.75" x14ac:dyDescent="0.25">
      <c r="A20" s="34">
        <v>42907</v>
      </c>
      <c r="B20" s="37">
        <v>3315000</v>
      </c>
      <c r="C20" s="37">
        <v>1</v>
      </c>
      <c r="D20" s="36">
        <f t="shared" si="0"/>
        <v>3315000</v>
      </c>
    </row>
    <row r="21" spans="1:4" x14ac:dyDescent="0.2">
      <c r="A21" s="24"/>
      <c r="B21" s="24"/>
      <c r="C21" s="24"/>
      <c r="D21" s="24"/>
    </row>
    <row r="22" spans="1:4" ht="15.75" x14ac:dyDescent="0.2">
      <c r="A22" s="88" t="s">
        <v>43</v>
      </c>
      <c r="B22" s="89"/>
      <c r="C22" s="90"/>
      <c r="D22" s="40">
        <f>SUM(D4:D20)</f>
        <v>56355000</v>
      </c>
    </row>
    <row r="23" spans="1:4" x14ac:dyDescent="0.2">
      <c r="A23" s="24"/>
      <c r="B23" s="24"/>
      <c r="C23" s="24"/>
      <c r="D23" s="24"/>
    </row>
    <row r="24" spans="1:4" x14ac:dyDescent="0.2">
      <c r="A24" s="24"/>
      <c r="B24" s="24"/>
      <c r="C24" s="24"/>
      <c r="D24" s="24"/>
    </row>
    <row r="25" spans="1:4" ht="15" x14ac:dyDescent="0.2">
      <c r="A25" s="64" t="s">
        <v>47</v>
      </c>
      <c r="B25" s="65"/>
      <c r="C25" s="65"/>
      <c r="D25" s="66"/>
    </row>
    <row r="26" spans="1:4" ht="15" x14ac:dyDescent="0.2">
      <c r="A26" s="64" t="s">
        <v>45</v>
      </c>
      <c r="B26" s="65"/>
      <c r="C26" s="65"/>
      <c r="D26" s="66"/>
    </row>
    <row r="27" spans="1:4" ht="15" x14ac:dyDescent="0.2">
      <c r="A27" s="64" t="s">
        <v>46</v>
      </c>
      <c r="B27" s="65"/>
      <c r="C27" s="65"/>
      <c r="D27" s="66"/>
    </row>
  </sheetData>
  <sheetProtection algorithmName="SHA-512" hashValue="03Ues9cBSDOXInz1QcxyZZrYktBobF5V6A78qJLyVpEIdc971L3OfOgvthS4c5IRB9/7uKLmPWNrxANtiWCSjQ==" saltValue="15eaDn6wwzo2obqUtER87g==" spinCount="100000" sheet="1" objects="1" scenarios="1"/>
  <mergeCells count="4">
    <mergeCell ref="A22:C22"/>
    <mergeCell ref="A26:D26"/>
    <mergeCell ref="A27:D27"/>
    <mergeCell ref="A25:D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Option Value </vt:lpstr>
      <vt:lpstr>Option Value  (2)</vt:lpstr>
      <vt:lpstr>Options</vt:lpstr>
      <vt:lpstr>Premium</vt:lpstr>
    </vt:vector>
  </TitlesOfParts>
  <Company>CGU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Black-Scholes Model for Value of Call Options Calculation</dc:title>
  <dc:creator>Jorge M. Otero</dc:creator>
  <cp:lastModifiedBy>Kamal Mishra</cp:lastModifiedBy>
  <dcterms:created xsi:type="dcterms:W3CDTF">2000-06-08T20:06:25Z</dcterms:created>
  <dcterms:modified xsi:type="dcterms:W3CDTF">2019-09-03T07:09:15Z</dcterms:modified>
</cp:coreProperties>
</file>