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00.233.82\Market Risk\68\Market Risk\Market Risk Team\Analysis\Banks Website Derivatives\Final\Files sent to Structured Products Team\"/>
    </mc:Choice>
  </mc:AlternateContent>
  <workbookProtection workbookAlgorithmName="SHA-512" workbookHashValue="xuL7scpjWziPRY7gKAftTEee+BREVTpS92gd2R0Ak3YzVfnItI1eI/j1Lp68wI1ya3tU+KFbet5hSakzQlXNsQ==" workbookSaltValue="4smafZzJ7QuBQ8DAPq2Wdg==" workbookSpinCount="100000" lockStructure="1"/>
  <bookViews>
    <workbookView xWindow="0" yWindow="0" windowWidth="20490" windowHeight="7755" firstSheet="1" activeTab="1"/>
  </bookViews>
  <sheets>
    <sheet name="Option Value " sheetId="1" state="hidden" r:id="rId1"/>
    <sheet name="Sheet1" sheetId="2" r:id="rId2"/>
  </sheets>
  <calcPr calcId="152511"/>
</workbook>
</file>

<file path=xl/calcChain.xml><?xml version="1.0" encoding="utf-8"?>
<calcChain xmlns="http://schemas.openxmlformats.org/spreadsheetml/2006/main">
  <c r="I69" i="1" l="1"/>
  <c r="I68" i="1"/>
  <c r="I8" i="1"/>
  <c r="I7" i="1"/>
  <c r="G30" i="1" l="1"/>
  <c r="G31" i="1"/>
  <c r="B37" i="1"/>
  <c r="B38" i="1"/>
  <c r="B39" i="1"/>
  <c r="I40" i="1" s="1"/>
  <c r="B40" i="1"/>
  <c r="B41" i="1"/>
  <c r="B42" i="1"/>
  <c r="I41" i="1" s="1"/>
  <c r="I45" i="1" s="1"/>
  <c r="B43" i="1"/>
  <c r="B44" i="1"/>
  <c r="G44" i="1"/>
  <c r="B45" i="1"/>
  <c r="J45" i="1"/>
  <c r="B46" i="1"/>
  <c r="J51" i="1"/>
  <c r="B65" i="1"/>
  <c r="B66" i="1"/>
  <c r="B67" i="1"/>
  <c r="B68" i="1"/>
  <c r="B69" i="1"/>
  <c r="B70" i="1"/>
  <c r="I73" i="1" s="1"/>
  <c r="B71" i="1"/>
  <c r="B72" i="1"/>
  <c r="G72" i="1"/>
  <c r="B73" i="1"/>
  <c r="J73" i="1"/>
  <c r="B74" i="1"/>
  <c r="J79" i="1"/>
  <c r="B50" i="1" l="1"/>
  <c r="J40" i="1"/>
  <c r="J42" i="1" s="1"/>
  <c r="I42" i="1"/>
  <c r="J50" i="1"/>
  <c r="J52" i="1" s="1"/>
  <c r="J68" i="1"/>
  <c r="J70" i="1" s="1"/>
  <c r="I70" i="1"/>
  <c r="J78" i="1"/>
  <c r="J80" i="1" s="1"/>
  <c r="J85" i="1"/>
  <c r="J57" i="1"/>
  <c r="J86" i="1" l="1"/>
  <c r="I72" i="1"/>
  <c r="J76" i="1"/>
  <c r="B55" i="1"/>
  <c r="B51" i="1"/>
  <c r="B78" i="1"/>
  <c r="J58" i="1"/>
  <c r="I44" i="1"/>
  <c r="B83" i="1"/>
  <c r="B79" i="1"/>
  <c r="J48" i="1"/>
  <c r="B52" i="1" l="1"/>
  <c r="B58" i="1"/>
  <c r="B53" i="1"/>
  <c r="B80" i="1"/>
  <c r="B86" i="1"/>
  <c r="B81" i="1"/>
  <c r="B59" i="1" l="1"/>
  <c r="B82" i="1"/>
  <c r="B84" i="1" s="1"/>
  <c r="B85" i="1"/>
  <c r="B88" i="1" s="1"/>
  <c r="B54" i="1"/>
  <c r="B56" i="1" s="1"/>
  <c r="B57" i="1"/>
  <c r="B60" i="1" s="1"/>
  <c r="B87" i="1"/>
  <c r="B11" i="1" l="1"/>
  <c r="D13" i="2"/>
  <c r="B9" i="1"/>
  <c r="B10" i="1"/>
  <c r="B13" i="1"/>
  <c r="B12" i="1"/>
  <c r="J12" i="1" s="1"/>
  <c r="B8" i="1"/>
  <c r="B4" i="1"/>
  <c r="B7" i="1"/>
  <c r="B6" i="1"/>
  <c r="B5" i="1"/>
  <c r="G11" i="1" l="1"/>
  <c r="I12" i="1"/>
  <c r="J24" i="1" s="1"/>
  <c r="J7" i="1"/>
  <c r="J9" i="1" s="1"/>
  <c r="I9" i="1"/>
  <c r="I11" i="1" s="1"/>
  <c r="J18" i="1"/>
  <c r="J17" i="1" l="1"/>
  <c r="J19" i="1" s="1"/>
  <c r="J25" i="1"/>
  <c r="B17" i="1"/>
  <c r="B22" i="1" l="1"/>
  <c r="B18" i="1"/>
  <c r="D15" i="2" l="1"/>
  <c r="B20" i="1"/>
  <c r="B19" i="1"/>
  <c r="B25" i="1"/>
  <c r="B24" i="1" l="1"/>
  <c r="B27" i="1" s="1"/>
  <c r="B15" i="2" s="1"/>
  <c r="B17" i="2" s="1"/>
  <c r="B21" i="1"/>
  <c r="B23" i="1" s="1"/>
  <c r="B26" i="1" l="1"/>
</calcChain>
</file>

<file path=xl/sharedStrings.xml><?xml version="1.0" encoding="utf-8"?>
<sst xmlns="http://schemas.openxmlformats.org/spreadsheetml/2006/main" count="102" uniqueCount="46">
  <si>
    <t>Input Data</t>
  </si>
  <si>
    <t>d1</t>
  </si>
  <si>
    <t>d2</t>
  </si>
  <si>
    <t>N(d1)</t>
  </si>
  <si>
    <t>Strike</t>
  </si>
  <si>
    <t>Spot</t>
  </si>
  <si>
    <t>Expiry Date</t>
  </si>
  <si>
    <t>Volatility</t>
  </si>
  <si>
    <t>Side</t>
  </si>
  <si>
    <t>Dollar Rate</t>
  </si>
  <si>
    <t xml:space="preserve">Forward Points </t>
  </si>
  <si>
    <t xml:space="preserve">Forward Yield </t>
  </si>
  <si>
    <t xml:space="preserve">Present Value </t>
  </si>
  <si>
    <t>N(-d2)</t>
  </si>
  <si>
    <t>B6*EXP(-J7*I7)</t>
  </si>
  <si>
    <t>N(d2)</t>
  </si>
  <si>
    <t>N(d2)*</t>
  </si>
  <si>
    <t>N(-d1)</t>
  </si>
  <si>
    <t>Tr</t>
  </si>
  <si>
    <t>Td</t>
  </si>
  <si>
    <t xml:space="preserve">Output Data </t>
  </si>
  <si>
    <t xml:space="preserve">Notional </t>
  </si>
  <si>
    <t>Value of Call(in INR)</t>
  </si>
  <si>
    <t>Value of Put(in INR)</t>
  </si>
  <si>
    <t xml:space="preserve">Spot Date </t>
  </si>
  <si>
    <t>Buy Put</t>
  </si>
  <si>
    <t>Expiry date</t>
  </si>
  <si>
    <t>Delivery Date</t>
  </si>
  <si>
    <t>Volatilty</t>
  </si>
  <si>
    <t>Net Price</t>
  </si>
  <si>
    <t>Spot Reference</t>
  </si>
  <si>
    <t>Client is required to fill input cells (grey colored) to arrive at prices</t>
  </si>
  <si>
    <t>Client can see the output in green colored cells</t>
  </si>
  <si>
    <t>Spot Date</t>
  </si>
  <si>
    <t>.</t>
  </si>
  <si>
    <t xml:space="preserve">Delivery Date </t>
  </si>
  <si>
    <t xml:space="preserve">Today's date </t>
  </si>
  <si>
    <t xml:space="preserve">Today's Date </t>
  </si>
  <si>
    <t>This Pricing Template is prepared by Axis Bank Treasury Front Office and is purely for illustration purpose. The template provides indicative market prices on the options undertaken by client using market levels in spot, forward and volatility. The client may obtain these input levels from Axis Bank Treasury. The prices arrived at herein may differ from the actual prices prevailing in the market including that as quoted by Axis Bank Treasury while unwinding. This template is intended for personal use of client. The client is advised to check the dealable prices from Treasury Front Office at all times so as to make informed decision on the risk arising from the structure and not rely on the output of the template alone.</t>
  </si>
  <si>
    <t>Sell Put</t>
  </si>
  <si>
    <t>Pricing Template</t>
  </si>
  <si>
    <t>(+ means client to receive)</t>
  </si>
  <si>
    <t>(- means client to pay)</t>
  </si>
  <si>
    <t>Notional (FCY)</t>
  </si>
  <si>
    <t>FCY Depo Rate</t>
  </si>
  <si>
    <t xml:space="preserve">Premium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</si>
</sst>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
    <numFmt numFmtId="165" formatCode="0.0000"/>
    <numFmt numFmtId="166" formatCode="0.000000"/>
    <numFmt numFmtId="167" formatCode="0.00000"/>
    <numFmt numFmtId="168" formatCode="0.000000%"/>
    <numFmt numFmtId="169" formatCode="_(* #,##0_);_(* \(#,##0\);_(* &quot;-&quot;??_);_(@_)"/>
    <numFmt numFmtId="170" formatCode="#,##0.0000"/>
    <numFmt numFmtId="171" formatCode="[$-409]d\-mmm\-yy;@"/>
  </numFmts>
  <fonts count="13" x14ac:knownFonts="1">
    <font>
      <sz val="10"/>
      <name val="Arial"/>
    </font>
    <font>
      <sz val="10"/>
      <name val="Arial"/>
      <family val="2"/>
    </font>
    <font>
      <b/>
      <sz val="10"/>
      <name val="Arial"/>
      <family val="2"/>
    </font>
    <font>
      <b/>
      <i/>
      <sz val="10"/>
      <name val="Arial"/>
      <family val="2"/>
    </font>
    <font>
      <sz val="10"/>
      <name val="Arial"/>
      <family val="2"/>
    </font>
    <font>
      <sz val="10"/>
      <name val="Arial"/>
      <family val="2"/>
    </font>
    <font>
      <sz val="10"/>
      <name val="Arial"/>
      <family val="2"/>
    </font>
    <font>
      <sz val="12"/>
      <name val="Arial"/>
      <family val="2"/>
    </font>
    <font>
      <sz val="16"/>
      <name val="Arial"/>
      <family val="2"/>
    </font>
    <font>
      <b/>
      <sz val="12"/>
      <name val="Arial"/>
      <family val="2"/>
    </font>
    <font>
      <i/>
      <sz val="12"/>
      <name val="Arial"/>
      <family val="2"/>
    </font>
    <font>
      <sz val="10"/>
      <color rgb="FFFF0000"/>
      <name val="Arial"/>
      <family val="2"/>
    </font>
    <font>
      <b/>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92D050"/>
        <bgColor indexed="64"/>
      </patternFill>
    </fill>
    <fill>
      <patternFill patternType="solid">
        <fgColor theme="2" tint="-9.9978637043366805E-2"/>
        <bgColor indexed="64"/>
      </patternFill>
    </fill>
  </fills>
  <borders count="1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4" fillId="0" borderId="0" xfId="0" applyFont="1"/>
    <xf numFmtId="10" fontId="0" fillId="0" borderId="0" xfId="2" applyNumberFormat="1" applyFont="1"/>
    <xf numFmtId="10" fontId="0" fillId="0" borderId="0" xfId="0" applyNumberFormat="1"/>
    <xf numFmtId="1" fontId="4" fillId="2" borderId="1" xfId="0" applyNumberFormat="1" applyFont="1" applyFill="1" applyBorder="1"/>
    <xf numFmtId="0" fontId="3" fillId="2" borderId="2" xfId="0" applyFont="1" applyFill="1" applyBorder="1"/>
    <xf numFmtId="0" fontId="2" fillId="2" borderId="2" xfId="0" applyFont="1" applyFill="1" applyBorder="1"/>
    <xf numFmtId="0" fontId="11" fillId="0" borderId="2" xfId="0" applyFont="1" applyBorder="1"/>
    <xf numFmtId="0" fontId="0" fillId="2" borderId="2" xfId="0" applyFill="1" applyBorder="1"/>
    <xf numFmtId="0" fontId="4" fillId="0" borderId="2" xfId="0" applyFont="1" applyBorder="1"/>
    <xf numFmtId="0" fontId="4" fillId="2" borderId="2" xfId="0" applyFont="1" applyFill="1" applyBorder="1"/>
    <xf numFmtId="168" fontId="0" fillId="0" borderId="0" xfId="2" applyNumberFormat="1" applyFont="1"/>
    <xf numFmtId="15" fontId="0" fillId="0" borderId="0" xfId="0" applyNumberFormat="1"/>
    <xf numFmtId="164" fontId="0" fillId="0" borderId="0" xfId="0" applyNumberFormat="1"/>
    <xf numFmtId="0" fontId="4" fillId="0" borderId="0" xfId="0" applyFont="1" applyBorder="1"/>
    <xf numFmtId="1" fontId="4" fillId="2" borderId="0" xfId="0" applyNumberFormat="1" applyFont="1" applyFill="1" applyBorder="1"/>
    <xf numFmtId="9" fontId="0" fillId="0" borderId="0" xfId="0" applyNumberFormat="1"/>
    <xf numFmtId="167" fontId="0" fillId="0" borderId="0" xfId="0" applyNumberFormat="1"/>
    <xf numFmtId="0" fontId="2" fillId="2" borderId="2" xfId="0" applyFont="1" applyFill="1" applyBorder="1" applyProtection="1">
      <protection hidden="1"/>
    </xf>
    <xf numFmtId="0" fontId="2" fillId="2" borderId="2" xfId="0" applyFont="1" applyFill="1" applyBorder="1" applyAlignment="1" applyProtection="1">
      <alignment horizontal="right"/>
      <protection hidden="1"/>
    </xf>
    <xf numFmtId="2" fontId="0" fillId="2" borderId="2" xfId="0" applyNumberFormat="1" applyFill="1" applyBorder="1" applyProtection="1">
      <protection hidden="1"/>
    </xf>
    <xf numFmtId="14" fontId="4" fillId="2" borderId="2" xfId="0" applyNumberFormat="1" applyFont="1" applyFill="1" applyBorder="1" applyProtection="1">
      <protection hidden="1"/>
    </xf>
    <xf numFmtId="169" fontId="6" fillId="2" borderId="2" xfId="1" applyNumberFormat="1" applyFont="1" applyFill="1" applyBorder="1" applyProtection="1">
      <protection hidden="1"/>
    </xf>
    <xf numFmtId="1" fontId="5" fillId="2" borderId="2" xfId="2" applyNumberFormat="1" applyFont="1" applyFill="1" applyBorder="1" applyProtection="1">
      <protection hidden="1"/>
    </xf>
    <xf numFmtId="10" fontId="0" fillId="2" borderId="2" xfId="0" applyNumberFormat="1" applyFill="1" applyBorder="1" applyProtection="1">
      <protection hidden="1"/>
    </xf>
    <xf numFmtId="10" fontId="0" fillId="2" borderId="0" xfId="0" applyNumberFormat="1" applyFill="1" applyBorder="1" applyProtection="1">
      <protection hidden="1"/>
    </xf>
    <xf numFmtId="0" fontId="0" fillId="0" borderId="0" xfId="0" applyProtection="1">
      <protection hidden="1"/>
    </xf>
    <xf numFmtId="0" fontId="0" fillId="2" borderId="2" xfId="0" applyFill="1" applyBorder="1" applyProtection="1">
      <protection hidden="1"/>
    </xf>
    <xf numFmtId="166" fontId="0" fillId="3" borderId="2" xfId="0" applyNumberFormat="1" applyFill="1" applyBorder="1" applyProtection="1">
      <protection hidden="1"/>
    </xf>
    <xf numFmtId="165" fontId="0" fillId="0" borderId="2" xfId="0" applyNumberFormat="1" applyBorder="1" applyProtection="1">
      <protection hidden="1"/>
    </xf>
    <xf numFmtId="2" fontId="0" fillId="0" borderId="2" xfId="0" applyNumberFormat="1" applyBorder="1" applyProtection="1">
      <protection hidden="1"/>
    </xf>
    <xf numFmtId="43" fontId="2" fillId="2" borderId="2" xfId="1" applyFont="1" applyFill="1" applyBorder="1" applyProtection="1">
      <protection hidden="1"/>
    </xf>
    <xf numFmtId="164" fontId="4" fillId="0" borderId="0" xfId="0" applyNumberFormat="1" applyFont="1"/>
    <xf numFmtId="43" fontId="2" fillId="2" borderId="2" xfId="1" applyNumberFormat="1" applyFont="1" applyFill="1" applyBorder="1" applyProtection="1">
      <protection hidden="1"/>
    </xf>
    <xf numFmtId="0" fontId="0" fillId="0" borderId="2" xfId="0" applyBorder="1" applyProtection="1">
      <protection hidden="1"/>
    </xf>
    <xf numFmtId="0" fontId="7" fillId="0" borderId="2" xfId="0" applyFont="1" applyBorder="1" applyProtection="1">
      <protection hidden="1"/>
    </xf>
    <xf numFmtId="0" fontId="9" fillId="0" borderId="2"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2" xfId="0" applyFont="1" applyBorder="1" applyAlignment="1" applyProtection="1">
      <protection hidden="1"/>
    </xf>
    <xf numFmtId="4" fontId="9" fillId="4" borderId="2" xfId="1" applyNumberFormat="1" applyFont="1" applyFill="1" applyBorder="1" applyAlignment="1" applyProtection="1">
      <alignment horizontal="center"/>
      <protection hidden="1"/>
    </xf>
    <xf numFmtId="43" fontId="7" fillId="0" borderId="2" xfId="1" applyFont="1" applyBorder="1" applyAlignment="1" applyProtection="1">
      <protection hidden="1"/>
    </xf>
    <xf numFmtId="10" fontId="12" fillId="5" borderId="2" xfId="0" applyNumberFormat="1" applyFont="1" applyFill="1" applyBorder="1" applyAlignment="1" applyProtection="1">
      <alignment horizontal="center"/>
      <protection locked="0" hidden="1"/>
    </xf>
    <xf numFmtId="171" fontId="12" fillId="5" borderId="2" xfId="1" applyNumberFormat="1" applyFont="1" applyFill="1" applyBorder="1" applyAlignment="1" applyProtection="1">
      <alignment horizontal="center" vertical="justify"/>
      <protection locked="0" hidden="1"/>
    </xf>
    <xf numFmtId="170" fontId="12" fillId="5" borderId="2" xfId="1" applyNumberFormat="1" applyFont="1" applyFill="1" applyBorder="1" applyAlignment="1" applyProtection="1">
      <alignment horizontal="center" vertical="justify"/>
      <protection locked="0" hidden="1"/>
    </xf>
    <xf numFmtId="4" fontId="12" fillId="5" borderId="2" xfId="1" applyNumberFormat="1" applyFont="1" applyFill="1" applyBorder="1" applyAlignment="1" applyProtection="1">
      <alignment horizontal="center" vertical="justify"/>
      <protection locked="0" hidden="1"/>
    </xf>
    <xf numFmtId="0" fontId="7" fillId="0" borderId="2" xfId="0" applyFont="1" applyBorder="1" applyAlignment="1" applyProtection="1">
      <alignment horizontal="center"/>
      <protection locked="0" hidden="1"/>
    </xf>
    <xf numFmtId="0" fontId="8" fillId="0" borderId="2" xfId="0" applyFont="1" applyBorder="1" applyAlignment="1" applyProtection="1">
      <alignment horizontal="center"/>
      <protection hidden="1"/>
    </xf>
    <xf numFmtId="0" fontId="12" fillId="5" borderId="3" xfId="0" applyFont="1" applyFill="1" applyBorder="1" applyAlignment="1" applyProtection="1">
      <alignment horizontal="center"/>
      <protection locked="0" hidden="1"/>
    </xf>
    <xf numFmtId="0" fontId="12" fillId="5" borderId="4" xfId="0" applyFont="1" applyFill="1" applyBorder="1" applyAlignment="1" applyProtection="1">
      <alignment horizontal="center"/>
      <protection locked="0" hidden="1"/>
    </xf>
    <xf numFmtId="0" fontId="12" fillId="5" borderId="10" xfId="0" applyFont="1" applyFill="1" applyBorder="1" applyAlignment="1" applyProtection="1">
      <alignment horizontal="center"/>
      <protection locked="0" hidden="1"/>
    </xf>
    <xf numFmtId="2" fontId="12" fillId="5" borderId="3" xfId="0" applyNumberFormat="1" applyFont="1" applyFill="1" applyBorder="1" applyAlignment="1" applyProtection="1">
      <alignment horizontal="center"/>
      <protection locked="0" hidden="1"/>
    </xf>
    <xf numFmtId="2" fontId="12" fillId="5" borderId="4" xfId="0" applyNumberFormat="1" applyFont="1" applyFill="1" applyBorder="1" applyAlignment="1" applyProtection="1">
      <alignment horizontal="center"/>
      <protection locked="0" hidden="1"/>
    </xf>
    <xf numFmtId="2" fontId="12" fillId="5" borderId="10" xfId="0" applyNumberFormat="1" applyFont="1" applyFill="1" applyBorder="1" applyAlignment="1" applyProtection="1">
      <alignment horizontal="center"/>
      <protection locked="0" hidden="1"/>
    </xf>
    <xf numFmtId="15" fontId="12" fillId="5" borderId="3" xfId="0" applyNumberFormat="1" applyFont="1" applyFill="1" applyBorder="1" applyAlignment="1" applyProtection="1">
      <alignment horizontal="center"/>
      <protection locked="0" hidden="1"/>
    </xf>
    <xf numFmtId="15" fontId="12" fillId="5" borderId="4" xfId="0" applyNumberFormat="1" applyFont="1" applyFill="1" applyBorder="1" applyAlignment="1" applyProtection="1">
      <alignment horizontal="center"/>
      <protection locked="0" hidden="1"/>
    </xf>
    <xf numFmtId="15" fontId="12" fillId="5" borderId="10" xfId="0" applyNumberFormat="1" applyFont="1" applyFill="1" applyBorder="1" applyAlignment="1" applyProtection="1">
      <alignment horizontal="center"/>
      <protection locked="0" hidden="1"/>
    </xf>
    <xf numFmtId="0" fontId="7"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10" fillId="0" borderId="5" xfId="0" applyNumberFormat="1" applyFont="1" applyBorder="1" applyAlignment="1" applyProtection="1">
      <alignment horizontal="justify" vertical="center" wrapText="1"/>
      <protection hidden="1"/>
    </xf>
    <xf numFmtId="0" fontId="10" fillId="0" borderId="6" xfId="0" applyNumberFormat="1" applyFont="1" applyBorder="1" applyAlignment="1" applyProtection="1">
      <alignment horizontal="justify" vertical="center" wrapText="1"/>
      <protection hidden="1"/>
    </xf>
    <xf numFmtId="0" fontId="10" fillId="0" borderId="7" xfId="0" applyNumberFormat="1" applyFont="1" applyBorder="1" applyAlignment="1" applyProtection="1">
      <alignment horizontal="justify" vertical="center" wrapText="1"/>
      <protection hidden="1"/>
    </xf>
    <xf numFmtId="0" fontId="10" fillId="0" borderId="0" xfId="0" applyNumberFormat="1" applyFont="1" applyBorder="1" applyAlignment="1" applyProtection="1">
      <alignment horizontal="justify" vertical="center" wrapText="1"/>
      <protection hidden="1"/>
    </xf>
    <xf numFmtId="0" fontId="10" fillId="0" borderId="8" xfId="0" applyNumberFormat="1" applyFont="1" applyBorder="1" applyAlignment="1" applyProtection="1">
      <alignment horizontal="justify" vertical="center" wrapText="1"/>
      <protection hidden="1"/>
    </xf>
    <xf numFmtId="0" fontId="10" fillId="0" borderId="9" xfId="0" applyNumberFormat="1" applyFont="1" applyBorder="1" applyAlignment="1" applyProtection="1">
      <alignment horizontal="justify" vertical="center" wrapText="1"/>
      <protection hidden="1"/>
    </xf>
    <xf numFmtId="15" fontId="12" fillId="5" borderId="2" xfId="0" applyNumberFormat="1" applyFont="1" applyFill="1" applyBorder="1" applyAlignment="1" applyProtection="1">
      <alignment horizontal="center"/>
      <protection locked="0" hidden="1"/>
    </xf>
    <xf numFmtId="0" fontId="12" fillId="5" borderId="2" xfId="0" applyFont="1" applyFill="1" applyBorder="1" applyAlignment="1" applyProtection="1">
      <alignment horizontal="center"/>
      <protection locked="0" hidden="1"/>
    </xf>
    <xf numFmtId="4" fontId="9" fillId="4" borderId="3" xfId="0" applyNumberFormat="1" applyFont="1" applyFill="1" applyBorder="1" applyAlignment="1" applyProtection="1">
      <alignment horizontal="center" vertical="center" wrapText="1"/>
      <protection hidden="1"/>
    </xf>
    <xf numFmtId="4" fontId="9" fillId="4" borderId="4" xfId="0" applyNumberFormat="1" applyFont="1" applyFill="1" applyBorder="1" applyAlignment="1" applyProtection="1">
      <alignment horizontal="center" vertical="center" wrapText="1"/>
      <protection hidden="1"/>
    </xf>
    <xf numFmtId="10" fontId="12" fillId="5" borderId="3" xfId="0" applyNumberFormat="1" applyFont="1" applyFill="1" applyBorder="1" applyAlignment="1" applyProtection="1">
      <alignment horizontal="center"/>
      <protection locked="0" hidden="1"/>
    </xf>
    <xf numFmtId="10" fontId="12" fillId="5" borderId="4" xfId="0" applyNumberFormat="1" applyFont="1" applyFill="1" applyBorder="1" applyAlignment="1" applyProtection="1">
      <alignment horizontal="center"/>
      <protection locked="0" hidden="1"/>
    </xf>
    <xf numFmtId="10" fontId="12" fillId="5" borderId="10" xfId="0" applyNumberFormat="1" applyFont="1" applyFill="1" applyBorder="1" applyAlignment="1" applyProtection="1">
      <alignment horizontal="center"/>
      <protection locked="0"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8"/>
  <sheetViews>
    <sheetView topLeftCell="A61" zoomScale="85" zoomScaleNormal="85" workbookViewId="0">
      <selection activeCell="I69" sqref="I69"/>
    </sheetView>
  </sheetViews>
  <sheetFormatPr defaultColWidth="14.5703125" defaultRowHeight="20.25" customHeight="1" x14ac:dyDescent="0.2"/>
  <cols>
    <col min="1" max="1" width="47.42578125" customWidth="1"/>
    <col min="2" max="2" width="15" customWidth="1"/>
    <col min="3" max="9" width="14.5703125" customWidth="1"/>
    <col min="10" max="10" width="20.5703125" customWidth="1"/>
    <col min="11" max="11" width="14.5703125" customWidth="1"/>
  </cols>
  <sheetData>
    <row r="1" spans="1:10" ht="20.25" customHeight="1" x14ac:dyDescent="0.2">
      <c r="A1">
        <v>1</v>
      </c>
    </row>
    <row r="2" spans="1:10" ht="20.25" customHeight="1" x14ac:dyDescent="0.2">
      <c r="A2" s="5" t="s">
        <v>0</v>
      </c>
      <c r="B2" s="18"/>
      <c r="H2" s="12"/>
    </row>
    <row r="3" spans="1:10" ht="20.25" customHeight="1" x14ac:dyDescent="0.2">
      <c r="A3" s="10" t="s">
        <v>8</v>
      </c>
      <c r="B3" s="19"/>
      <c r="H3" s="8"/>
    </row>
    <row r="4" spans="1:10" ht="20.25" customHeight="1" x14ac:dyDescent="0.2">
      <c r="A4" s="7" t="s">
        <v>5</v>
      </c>
      <c r="B4" s="20">
        <f>Sheet1!$B$10</f>
        <v>50</v>
      </c>
    </row>
    <row r="5" spans="1:10" ht="20.25" customHeight="1" x14ac:dyDescent="0.2">
      <c r="A5" s="7" t="s">
        <v>36</v>
      </c>
      <c r="B5" s="21">
        <f>Sheet1!B4</f>
        <v>43466</v>
      </c>
    </row>
    <row r="6" spans="1:10" ht="20.25" customHeight="1" x14ac:dyDescent="0.2">
      <c r="A6" s="7" t="s">
        <v>24</v>
      </c>
      <c r="B6" s="21">
        <f>Sheet1!$B$5</f>
        <v>43468</v>
      </c>
    </row>
    <row r="7" spans="1:10" ht="20.25" customHeight="1" x14ac:dyDescent="0.2">
      <c r="A7" s="9" t="s">
        <v>4</v>
      </c>
      <c r="B7" s="20">
        <f>Sheet1!B8</f>
        <v>50</v>
      </c>
      <c r="I7" s="4">
        <f>B9-B5</f>
        <v>362</v>
      </c>
      <c r="J7" s="1">
        <f>(1+B12*I7/360)*(B4+B11/100)/B4-1</f>
        <v>4.0930444542928601E-2</v>
      </c>
    </row>
    <row r="8" spans="1:10" ht="20.25" customHeight="1" x14ac:dyDescent="0.2">
      <c r="A8" s="9" t="s">
        <v>21</v>
      </c>
      <c r="B8" s="22">
        <f>Sheet1!$B$9</f>
        <v>1</v>
      </c>
      <c r="I8" s="15">
        <f>B9-B5</f>
        <v>362</v>
      </c>
      <c r="J8" s="1"/>
    </row>
    <row r="9" spans="1:10" ht="20.25" customHeight="1" x14ac:dyDescent="0.2">
      <c r="A9" s="9" t="s">
        <v>6</v>
      </c>
      <c r="B9" s="21">
        <f>Sheet1!B6</f>
        <v>43828</v>
      </c>
      <c r="H9" s="1" t="s">
        <v>18</v>
      </c>
      <c r="I9">
        <f>I7/365</f>
        <v>0.99178082191780825</v>
      </c>
      <c r="J9" s="11">
        <f>J7*365/I7</f>
        <v>4.1269647122013642E-2</v>
      </c>
    </row>
    <row r="10" spans="1:10" ht="20.25" customHeight="1" x14ac:dyDescent="0.2">
      <c r="A10" s="9" t="s">
        <v>35</v>
      </c>
      <c r="B10" s="21">
        <f>Sheet1!B7</f>
        <v>43830</v>
      </c>
      <c r="H10" s="1"/>
      <c r="J10" s="11"/>
    </row>
    <row r="11" spans="1:10" ht="20.25" customHeight="1" x14ac:dyDescent="0.2">
      <c r="A11" s="9" t="s">
        <v>10</v>
      </c>
      <c r="B11" s="23">
        <f>Sheet1!$B$12*100</f>
        <v>79.066669999999988</v>
      </c>
      <c r="G11" s="17">
        <f>B7-B4</f>
        <v>0</v>
      </c>
      <c r="H11" s="1" t="s">
        <v>11</v>
      </c>
      <c r="I11" s="2">
        <f>B11/B4/I9/100</f>
        <v>1.5944383729281763E-2</v>
      </c>
    </row>
    <row r="12" spans="1:10" ht="20.25" customHeight="1" x14ac:dyDescent="0.2">
      <c r="A12" s="9" t="s">
        <v>9</v>
      </c>
      <c r="B12" s="24">
        <f>Sheet1!$B$11</f>
        <v>2.45895E-2</v>
      </c>
      <c r="H12" s="1" t="s">
        <v>19</v>
      </c>
      <c r="I12">
        <f>I8/360</f>
        <v>1.0055555555555555</v>
      </c>
      <c r="J12" s="3">
        <f>B12</f>
        <v>2.45895E-2</v>
      </c>
    </row>
    <row r="13" spans="1:10" ht="20.25" customHeight="1" x14ac:dyDescent="0.2">
      <c r="A13" s="9" t="s">
        <v>7</v>
      </c>
      <c r="B13" s="24">
        <f>Sheet1!$B$13</f>
        <v>0.08</v>
      </c>
    </row>
    <row r="14" spans="1:10" ht="20.25" customHeight="1" x14ac:dyDescent="0.2">
      <c r="A14" s="14"/>
      <c r="B14" s="25"/>
    </row>
    <row r="15" spans="1:10" ht="20.25" customHeight="1" x14ac:dyDescent="0.2">
      <c r="B15" s="26"/>
      <c r="J15" s="32" t="s">
        <v>34</v>
      </c>
    </row>
    <row r="16" spans="1:10" ht="20.25" customHeight="1" x14ac:dyDescent="0.2">
      <c r="A16" s="5" t="s">
        <v>20</v>
      </c>
      <c r="B16" s="27"/>
    </row>
    <row r="17" spans="1:10" ht="20.25" customHeight="1" x14ac:dyDescent="0.2">
      <c r="A17" s="9" t="s">
        <v>12</v>
      </c>
      <c r="B17" s="28">
        <f>B4*EXP(-J12*I9)</f>
        <v>48.795378763590143</v>
      </c>
      <c r="J17">
        <f>LN((B4+B11/100)/B4)*365/I7</f>
        <v>1.5819630256854351E-2</v>
      </c>
    </row>
    <row r="18" spans="1:10" ht="20.25" customHeight="1" x14ac:dyDescent="0.2">
      <c r="A18" s="9" t="s">
        <v>1</v>
      </c>
      <c r="B18" s="29">
        <f>(LN(B4/B7)+((J19-B12)+B13^2/2)*I9)/B13/(I9)^0.5</f>
        <v>0.24101775684919724</v>
      </c>
      <c r="J18">
        <f>B12*365/360</f>
        <v>2.4931020833333331E-2</v>
      </c>
    </row>
    <row r="19" spans="1:10" ht="20.25" customHeight="1" x14ac:dyDescent="0.2">
      <c r="A19" s="9" t="s">
        <v>2</v>
      </c>
      <c r="B19" s="29">
        <f>B18-B13*(I9)^0.5</f>
        <v>0.16134720231194066</v>
      </c>
      <c r="J19">
        <f>J17+J18</f>
        <v>4.0750651090187683E-2</v>
      </c>
    </row>
    <row r="20" spans="1:10" ht="20.25" customHeight="1" x14ac:dyDescent="0.2">
      <c r="A20" s="9" t="s">
        <v>3</v>
      </c>
      <c r="B20" s="30">
        <f>NORMDIST(B18,0,1,TRUE)</f>
        <v>0.59522932291798758</v>
      </c>
    </row>
    <row r="21" spans="1:10" ht="20.25" customHeight="1" x14ac:dyDescent="0.2">
      <c r="A21" s="9" t="s">
        <v>15</v>
      </c>
      <c r="B21" s="30">
        <f>NORMDIST(B19,0,1,TRUE)</f>
        <v>0.5640900259141256</v>
      </c>
    </row>
    <row r="22" spans="1:10" ht="20.25" customHeight="1" x14ac:dyDescent="0.2">
      <c r="A22" s="9"/>
      <c r="B22" s="28">
        <f>B7*EXP(-J19*I9)</f>
        <v>48.019505415905158</v>
      </c>
    </row>
    <row r="23" spans="1:10" ht="20.25" customHeight="1" x14ac:dyDescent="0.2">
      <c r="A23" s="9" t="s">
        <v>16</v>
      </c>
      <c r="B23" s="30">
        <f>B22*B21</f>
        <v>27.087324054441435</v>
      </c>
    </row>
    <row r="24" spans="1:10" ht="20.25" customHeight="1" x14ac:dyDescent="0.2">
      <c r="A24" s="9" t="s">
        <v>13</v>
      </c>
      <c r="B24" s="30">
        <f>NORMDIST(-1*B19,0,1,TRUE)</f>
        <v>0.4359099740858744</v>
      </c>
      <c r="H24" t="s">
        <v>14</v>
      </c>
      <c r="J24">
        <f>B4*EXP(-I12*J12)</f>
        <v>48.778853893561674</v>
      </c>
    </row>
    <row r="25" spans="1:10" ht="20.25" customHeight="1" x14ac:dyDescent="0.2">
      <c r="A25" s="9" t="s">
        <v>17</v>
      </c>
      <c r="B25" s="30">
        <f>NORMDIST(-1*B18,0,1,TRUE)</f>
        <v>0.40477067708201242</v>
      </c>
      <c r="J25">
        <f>B7*EXP(-I9*J9)</f>
        <v>47.994794681175243</v>
      </c>
    </row>
    <row r="26" spans="1:10" ht="20.25" customHeight="1" x14ac:dyDescent="0.2">
      <c r="A26" s="6" t="s">
        <v>22</v>
      </c>
      <c r="B26" s="31">
        <f>(B20*B17-B22*B21)*B8</f>
        <v>1.9571162085370766</v>
      </c>
    </row>
    <row r="27" spans="1:10" ht="20.25" customHeight="1" x14ac:dyDescent="0.2">
      <c r="A27" s="6" t="s">
        <v>23</v>
      </c>
      <c r="B27" s="31">
        <f>(B22*B24-B17*B25)*B8</f>
        <v>1.1812428608520911</v>
      </c>
    </row>
    <row r="30" spans="1:10" ht="20.25" customHeight="1" x14ac:dyDescent="0.2">
      <c r="G30">
        <f>0.28*56.9</f>
        <v>15.932</v>
      </c>
    </row>
    <row r="31" spans="1:10" ht="20.25" customHeight="1" x14ac:dyDescent="0.2">
      <c r="G31">
        <f>0.26*56.932</f>
        <v>14.802320000000002</v>
      </c>
    </row>
    <row r="32" spans="1:10" ht="20.25" customHeight="1" x14ac:dyDescent="0.2">
      <c r="B32" s="16"/>
    </row>
    <row r="34" spans="1:10" ht="20.25" customHeight="1" x14ac:dyDescent="0.2">
      <c r="A34">
        <v>2</v>
      </c>
    </row>
    <row r="35" spans="1:10" ht="20.25" customHeight="1" x14ac:dyDescent="0.2">
      <c r="A35" s="5" t="s">
        <v>0</v>
      </c>
      <c r="B35" s="18"/>
      <c r="H35" s="12"/>
    </row>
    <row r="36" spans="1:10" ht="20.25" customHeight="1" x14ac:dyDescent="0.2">
      <c r="A36" s="10" t="s">
        <v>8</v>
      </c>
      <c r="B36" s="19"/>
      <c r="H36" s="8"/>
    </row>
    <row r="37" spans="1:10" ht="20.25" customHeight="1" x14ac:dyDescent="0.2">
      <c r="A37" s="7" t="s">
        <v>5</v>
      </c>
      <c r="B37" s="20">
        <f>Sheet1!$B$10</f>
        <v>50</v>
      </c>
    </row>
    <row r="38" spans="1:10" ht="20.25" customHeight="1" x14ac:dyDescent="0.2">
      <c r="A38" s="7" t="s">
        <v>37</v>
      </c>
      <c r="B38" s="21">
        <f>Sheet1!B4</f>
        <v>43466</v>
      </c>
    </row>
    <row r="39" spans="1:10" ht="20.25" customHeight="1" x14ac:dyDescent="0.2">
      <c r="A39" s="7" t="s">
        <v>24</v>
      </c>
      <c r="B39" s="21">
        <f>Sheet1!$B$5</f>
        <v>43468</v>
      </c>
    </row>
    <row r="40" spans="1:10" ht="20.25" customHeight="1" x14ac:dyDescent="0.2">
      <c r="A40" s="9" t="s">
        <v>4</v>
      </c>
      <c r="B40" s="20" t="e">
        <f>Sheet1!#REF!</f>
        <v>#REF!</v>
      </c>
      <c r="I40" s="4" t="e">
        <f>B43-B39</f>
        <v>#REF!</v>
      </c>
      <c r="J40" s="1" t="e">
        <f>(1+B45*I40/360)*(B37+B44/100)/B37-1</f>
        <v>#REF!</v>
      </c>
    </row>
    <row r="41" spans="1:10" ht="20.25" customHeight="1" x14ac:dyDescent="0.2">
      <c r="A41" s="9" t="s">
        <v>21</v>
      </c>
      <c r="B41" s="22">
        <f>Sheet1!$B$9</f>
        <v>1</v>
      </c>
      <c r="I41" s="15" t="e">
        <f>B42-B38</f>
        <v>#REF!</v>
      </c>
      <c r="J41" s="1"/>
    </row>
    <row r="42" spans="1:10" ht="20.25" customHeight="1" x14ac:dyDescent="0.2">
      <c r="A42" s="9" t="s">
        <v>6</v>
      </c>
      <c r="B42" s="21" t="e">
        <f>Sheet1!#REF!</f>
        <v>#REF!</v>
      </c>
      <c r="H42" s="1" t="s">
        <v>18</v>
      </c>
      <c r="I42" t="e">
        <f>I40/365</f>
        <v>#REF!</v>
      </c>
      <c r="J42" s="11" t="e">
        <f>J40*365/I40</f>
        <v>#REF!</v>
      </c>
    </row>
    <row r="43" spans="1:10" ht="20.25" customHeight="1" x14ac:dyDescent="0.2">
      <c r="A43" s="9" t="s">
        <v>27</v>
      </c>
      <c r="B43" s="21" t="e">
        <f>Sheet1!#REF!</f>
        <v>#REF!</v>
      </c>
      <c r="H43" s="1"/>
      <c r="J43" s="11"/>
    </row>
    <row r="44" spans="1:10" ht="20.25" customHeight="1" x14ac:dyDescent="0.2">
      <c r="A44" s="9" t="s">
        <v>10</v>
      </c>
      <c r="B44" s="23">
        <f>Sheet1!$B$12*100</f>
        <v>79.066669999999988</v>
      </c>
      <c r="G44" s="17" t="e">
        <f>B40-B37</f>
        <v>#REF!</v>
      </c>
      <c r="H44" s="1" t="s">
        <v>11</v>
      </c>
      <c r="I44" s="2" t="e">
        <f>B44/B37/I42/100</f>
        <v>#REF!</v>
      </c>
    </row>
    <row r="45" spans="1:10" ht="20.25" customHeight="1" x14ac:dyDescent="0.2">
      <c r="A45" s="9" t="s">
        <v>9</v>
      </c>
      <c r="B45" s="24">
        <f>Sheet1!$B$11</f>
        <v>2.45895E-2</v>
      </c>
      <c r="H45" s="1" t="s">
        <v>19</v>
      </c>
      <c r="I45" t="e">
        <f>I41/360</f>
        <v>#REF!</v>
      </c>
      <c r="J45" s="3">
        <f>B45</f>
        <v>2.45895E-2</v>
      </c>
    </row>
    <row r="46" spans="1:10" ht="20.25" customHeight="1" x14ac:dyDescent="0.2">
      <c r="A46" s="9" t="s">
        <v>7</v>
      </c>
      <c r="B46" s="24" t="e">
        <f>Sheet1!#REF!</f>
        <v>#REF!</v>
      </c>
    </row>
    <row r="47" spans="1:10" ht="20.25" customHeight="1" x14ac:dyDescent="0.2">
      <c r="A47" s="14"/>
      <c r="B47" s="25"/>
    </row>
    <row r="48" spans="1:10" ht="20.25" customHeight="1" x14ac:dyDescent="0.2">
      <c r="B48" s="26"/>
      <c r="J48" s="13" t="e">
        <f>LN(B40/B37)/I42+B45</f>
        <v>#REF!</v>
      </c>
    </row>
    <row r="49" spans="1:10" ht="20.25" customHeight="1" x14ac:dyDescent="0.2">
      <c r="A49" s="5" t="s">
        <v>20</v>
      </c>
      <c r="B49" s="27"/>
    </row>
    <row r="50" spans="1:10" ht="20.25" customHeight="1" x14ac:dyDescent="0.2">
      <c r="A50" s="9" t="s">
        <v>12</v>
      </c>
      <c r="B50" s="28" t="e">
        <f>B37*EXP(-J45*I42)</f>
        <v>#REF!</v>
      </c>
      <c r="J50" t="e">
        <f>LN((B37+B44/100)/B37)*365/I40</f>
        <v>#REF!</v>
      </c>
    </row>
    <row r="51" spans="1:10" ht="20.25" customHeight="1" x14ac:dyDescent="0.2">
      <c r="A51" s="9" t="s">
        <v>1</v>
      </c>
      <c r="B51" s="29" t="e">
        <f>(LN(B37/B40)+((J52-B45)+B46^2/2)*I42)/B46/(I42)^0.5</f>
        <v>#REF!</v>
      </c>
      <c r="J51">
        <f>B45*365/360</f>
        <v>2.4931020833333331E-2</v>
      </c>
    </row>
    <row r="52" spans="1:10" ht="20.25" customHeight="1" x14ac:dyDescent="0.2">
      <c r="A52" s="9" t="s">
        <v>2</v>
      </c>
      <c r="B52" s="29" t="e">
        <f>B51-B46*(I42)^0.5</f>
        <v>#REF!</v>
      </c>
      <c r="J52" t="e">
        <f>J50+J51</f>
        <v>#REF!</v>
      </c>
    </row>
    <row r="53" spans="1:10" ht="20.25" customHeight="1" x14ac:dyDescent="0.2">
      <c r="A53" s="9" t="s">
        <v>3</v>
      </c>
      <c r="B53" s="30" t="e">
        <f>NORMDIST(B51,0,1,TRUE)</f>
        <v>#REF!</v>
      </c>
    </row>
    <row r="54" spans="1:10" ht="20.25" customHeight="1" x14ac:dyDescent="0.2">
      <c r="A54" s="9" t="s">
        <v>15</v>
      </c>
      <c r="B54" s="30" t="e">
        <f>NORMDIST(B52,0,1,TRUE)</f>
        <v>#REF!</v>
      </c>
    </row>
    <row r="55" spans="1:10" ht="20.25" customHeight="1" x14ac:dyDescent="0.2">
      <c r="A55" s="9"/>
      <c r="B55" s="28" t="e">
        <f>B40*EXP(-J52*I42)</f>
        <v>#REF!</v>
      </c>
    </row>
    <row r="56" spans="1:10" ht="20.25" customHeight="1" x14ac:dyDescent="0.2">
      <c r="A56" s="9" t="s">
        <v>16</v>
      </c>
      <c r="B56" s="30" t="e">
        <f>B55*B54</f>
        <v>#REF!</v>
      </c>
    </row>
    <row r="57" spans="1:10" ht="20.25" customHeight="1" x14ac:dyDescent="0.2">
      <c r="A57" s="9" t="s">
        <v>13</v>
      </c>
      <c r="B57" s="30" t="e">
        <f>NORMDIST(-1*B52,0,1,TRUE)</f>
        <v>#REF!</v>
      </c>
      <c r="H57" t="s">
        <v>14</v>
      </c>
      <c r="J57" t="e">
        <f>B37*EXP(-I45*J45)</f>
        <v>#REF!</v>
      </c>
    </row>
    <row r="58" spans="1:10" ht="20.25" customHeight="1" x14ac:dyDescent="0.2">
      <c r="A58" s="9" t="s">
        <v>17</v>
      </c>
      <c r="B58" s="30" t="e">
        <f>NORMDIST(-1*B51,0,1,TRUE)</f>
        <v>#REF!</v>
      </c>
      <c r="J58" t="e">
        <f>B40*EXP(-I42*J42)</f>
        <v>#REF!</v>
      </c>
    </row>
    <row r="59" spans="1:10" ht="20.25" customHeight="1" x14ac:dyDescent="0.2">
      <c r="A59" s="6" t="s">
        <v>22</v>
      </c>
      <c r="B59" s="33" t="e">
        <f>(B53*B50-B55*B54)*B41</f>
        <v>#REF!</v>
      </c>
    </row>
    <row r="60" spans="1:10" ht="20.25" customHeight="1" x14ac:dyDescent="0.2">
      <c r="A60" s="6" t="s">
        <v>23</v>
      </c>
      <c r="B60" s="33" t="e">
        <f>(B55*B57-B50*B58)*B41</f>
        <v>#REF!</v>
      </c>
    </row>
    <row r="62" spans="1:10" ht="20.25" customHeight="1" x14ac:dyDescent="0.2">
      <c r="A62">
        <v>3</v>
      </c>
    </row>
    <row r="63" spans="1:10" ht="20.25" customHeight="1" x14ac:dyDescent="0.2">
      <c r="A63" s="5" t="s">
        <v>0</v>
      </c>
      <c r="B63" s="18"/>
      <c r="H63" s="12"/>
    </row>
    <row r="64" spans="1:10" ht="20.25" customHeight="1" x14ac:dyDescent="0.2">
      <c r="A64" s="10" t="s">
        <v>8</v>
      </c>
      <c r="B64" s="19"/>
      <c r="H64" s="8"/>
    </row>
    <row r="65" spans="1:10" ht="20.25" customHeight="1" x14ac:dyDescent="0.2">
      <c r="A65" s="7" t="s">
        <v>5</v>
      </c>
      <c r="B65" s="20">
        <f>Sheet1!$B$10</f>
        <v>50</v>
      </c>
    </row>
    <row r="66" spans="1:10" ht="20.25" customHeight="1" x14ac:dyDescent="0.2">
      <c r="A66" s="7" t="s">
        <v>37</v>
      </c>
      <c r="B66" s="21">
        <f>Sheet1!B4</f>
        <v>43466</v>
      </c>
    </row>
    <row r="67" spans="1:10" ht="20.25" customHeight="1" x14ac:dyDescent="0.2">
      <c r="A67" s="7" t="s">
        <v>24</v>
      </c>
      <c r="B67" s="21">
        <f>Sheet1!B5</f>
        <v>43468</v>
      </c>
    </row>
    <row r="68" spans="1:10" ht="20.25" customHeight="1" x14ac:dyDescent="0.2">
      <c r="A68" s="9" t="s">
        <v>4</v>
      </c>
      <c r="B68" s="20">
        <f>Sheet1!D8</f>
        <v>50</v>
      </c>
      <c r="I68" s="4">
        <f>B70-B66</f>
        <v>362</v>
      </c>
      <c r="J68" s="1">
        <f>(1+B73*I68/360)*(B65+B72/100)/B65-1</f>
        <v>4.0930444542928601E-2</v>
      </c>
    </row>
    <row r="69" spans="1:10" ht="20.25" customHeight="1" x14ac:dyDescent="0.2">
      <c r="A69" s="9" t="s">
        <v>21</v>
      </c>
      <c r="B69" s="22">
        <f>Sheet1!$B$9</f>
        <v>1</v>
      </c>
      <c r="I69" s="15">
        <f>B70-B66</f>
        <v>362</v>
      </c>
      <c r="J69" s="1"/>
    </row>
    <row r="70" spans="1:10" ht="20.25" customHeight="1" x14ac:dyDescent="0.2">
      <c r="A70" s="9" t="s">
        <v>6</v>
      </c>
      <c r="B70" s="21">
        <f>Sheet1!D6</f>
        <v>43828</v>
      </c>
      <c r="H70" s="1" t="s">
        <v>18</v>
      </c>
      <c r="I70">
        <f>I68/365</f>
        <v>0.99178082191780825</v>
      </c>
      <c r="J70" s="11">
        <f>J68*365/I68</f>
        <v>4.1269647122013642E-2</v>
      </c>
    </row>
    <row r="71" spans="1:10" ht="20.25" customHeight="1" x14ac:dyDescent="0.2">
      <c r="A71" s="9" t="s">
        <v>27</v>
      </c>
      <c r="B71" s="21">
        <f>Sheet1!D7</f>
        <v>43830</v>
      </c>
      <c r="H71" s="1"/>
      <c r="J71" s="11"/>
    </row>
    <row r="72" spans="1:10" ht="20.25" customHeight="1" x14ac:dyDescent="0.2">
      <c r="A72" s="9" t="s">
        <v>10</v>
      </c>
      <c r="B72" s="23">
        <f>Sheet1!$B$12*100</f>
        <v>79.066669999999988</v>
      </c>
      <c r="G72" s="17">
        <f>B68-B65</f>
        <v>0</v>
      </c>
      <c r="H72" s="1" t="s">
        <v>11</v>
      </c>
      <c r="I72" s="2">
        <f>B72/B65/I70/100</f>
        <v>1.5944383729281763E-2</v>
      </c>
    </row>
    <row r="73" spans="1:10" ht="20.25" customHeight="1" x14ac:dyDescent="0.2">
      <c r="A73" s="9" t="s">
        <v>9</v>
      </c>
      <c r="B73" s="24">
        <f>Sheet1!$B$11</f>
        <v>2.45895E-2</v>
      </c>
      <c r="H73" s="1" t="s">
        <v>19</v>
      </c>
      <c r="I73">
        <f>I69/360</f>
        <v>1.0055555555555555</v>
      </c>
      <c r="J73" s="3">
        <f>B73</f>
        <v>2.45895E-2</v>
      </c>
    </row>
    <row r="74" spans="1:10" ht="20.25" customHeight="1" x14ac:dyDescent="0.2">
      <c r="A74" s="9" t="s">
        <v>7</v>
      </c>
      <c r="B74" s="24">
        <f>Sheet1!D13</f>
        <v>0.08</v>
      </c>
    </row>
    <row r="75" spans="1:10" ht="20.25" customHeight="1" x14ac:dyDescent="0.2">
      <c r="A75" s="14"/>
      <c r="B75" s="25"/>
    </row>
    <row r="76" spans="1:10" ht="20.25" customHeight="1" x14ac:dyDescent="0.2">
      <c r="B76" s="26"/>
      <c r="J76" s="13">
        <f>LN(B68/B65)/I70+B73</f>
        <v>2.45895E-2</v>
      </c>
    </row>
    <row r="77" spans="1:10" ht="20.25" customHeight="1" x14ac:dyDescent="0.2">
      <c r="A77" s="5" t="s">
        <v>20</v>
      </c>
      <c r="B77" s="27"/>
    </row>
    <row r="78" spans="1:10" ht="20.25" customHeight="1" x14ac:dyDescent="0.2">
      <c r="A78" s="9" t="s">
        <v>12</v>
      </c>
      <c r="B78" s="28">
        <f>B65*EXP(-J73*I70)</f>
        <v>48.795378763590143</v>
      </c>
      <c r="J78">
        <f>LN((B65+B72/100)/B65)*365/I68</f>
        <v>1.5819630256854351E-2</v>
      </c>
    </row>
    <row r="79" spans="1:10" ht="20.25" customHeight="1" x14ac:dyDescent="0.2">
      <c r="A79" s="9" t="s">
        <v>1</v>
      </c>
      <c r="B79" s="29">
        <f>(LN(B65/B68)+((J80-B73)+B74^2/2)*I70)/B74/(I70)^0.5</f>
        <v>0.24101775684919724</v>
      </c>
      <c r="J79">
        <f>B73*365/360</f>
        <v>2.4931020833333331E-2</v>
      </c>
    </row>
    <row r="80" spans="1:10" ht="20.25" customHeight="1" x14ac:dyDescent="0.2">
      <c r="A80" s="9" t="s">
        <v>2</v>
      </c>
      <c r="B80" s="29">
        <f>B79-B74*(I70)^0.5</f>
        <v>0.16134720231194066</v>
      </c>
      <c r="J80">
        <f>J78+J79</f>
        <v>4.0750651090187683E-2</v>
      </c>
    </row>
    <row r="81" spans="1:10" ht="20.25" customHeight="1" x14ac:dyDescent="0.2">
      <c r="A81" s="9" t="s">
        <v>3</v>
      </c>
      <c r="B81" s="30">
        <f>NORMDIST(B79,0,1,TRUE)</f>
        <v>0.59522932291798758</v>
      </c>
    </row>
    <row r="82" spans="1:10" ht="20.25" customHeight="1" x14ac:dyDescent="0.2">
      <c r="A82" s="9" t="s">
        <v>15</v>
      </c>
      <c r="B82" s="30">
        <f>NORMDIST(B80,0,1,TRUE)</f>
        <v>0.5640900259141256</v>
      </c>
    </row>
    <row r="83" spans="1:10" ht="20.25" customHeight="1" x14ac:dyDescent="0.2">
      <c r="A83" s="9"/>
      <c r="B83" s="28">
        <f>B68*EXP(-J80*I70)</f>
        <v>48.019505415905158</v>
      </c>
    </row>
    <row r="84" spans="1:10" ht="20.25" customHeight="1" x14ac:dyDescent="0.2">
      <c r="A84" s="9" t="s">
        <v>16</v>
      </c>
      <c r="B84" s="30">
        <f>B83*B82</f>
        <v>27.087324054441435</v>
      </c>
    </row>
    <row r="85" spans="1:10" ht="20.25" customHeight="1" x14ac:dyDescent="0.2">
      <c r="A85" s="9" t="s">
        <v>13</v>
      </c>
      <c r="B85" s="30">
        <f>NORMDIST(-1*B80,0,1,TRUE)</f>
        <v>0.4359099740858744</v>
      </c>
      <c r="H85" t="s">
        <v>14</v>
      </c>
      <c r="J85">
        <f>B65*EXP(-I73*J73)</f>
        <v>48.778853893561674</v>
      </c>
    </row>
    <row r="86" spans="1:10" ht="20.25" customHeight="1" x14ac:dyDescent="0.2">
      <c r="A86" s="9" t="s">
        <v>17</v>
      </c>
      <c r="B86" s="30">
        <f>NORMDIST(-1*B79,0,1,TRUE)</f>
        <v>0.40477067708201242</v>
      </c>
      <c r="J86">
        <f>B68*EXP(-I70*J70)</f>
        <v>47.994794681175243</v>
      </c>
    </row>
    <row r="87" spans="1:10" ht="20.25" customHeight="1" x14ac:dyDescent="0.2">
      <c r="A87" s="6" t="s">
        <v>22</v>
      </c>
      <c r="B87" s="33">
        <f>(B81*B78-B83*B82)*B69</f>
        <v>1.9571162085370766</v>
      </c>
    </row>
    <row r="88" spans="1:10" ht="20.25" customHeight="1" x14ac:dyDescent="0.2">
      <c r="A88" s="6" t="s">
        <v>23</v>
      </c>
      <c r="B88" s="33">
        <f>(B83*B85-B78*B86)*B69</f>
        <v>1.1812428608520911</v>
      </c>
    </row>
  </sheetData>
  <sheetProtection selectLockedCells="1" selectUnlockedCells="1"/>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0"/>
  <sheetViews>
    <sheetView tabSelected="1" zoomScaleNormal="100" workbookViewId="0">
      <selection activeCell="A13" sqref="A13"/>
    </sheetView>
  </sheetViews>
  <sheetFormatPr defaultColWidth="0" defaultRowHeight="12.75" zeroHeight="1" x14ac:dyDescent="0.2"/>
  <cols>
    <col min="1" max="1" width="26.28515625" style="26" customWidth="1"/>
    <col min="2" max="2" width="22.42578125" style="26" customWidth="1"/>
    <col min="3" max="3" width="9.140625" style="26" customWidth="1"/>
    <col min="4" max="4" width="20" style="26" customWidth="1"/>
    <col min="5" max="16384" width="0" style="26" hidden="1"/>
  </cols>
  <sheetData>
    <row r="1" spans="1:4" ht="20.25" x14ac:dyDescent="0.3">
      <c r="A1" s="46" t="s">
        <v>40</v>
      </c>
      <c r="B1" s="46"/>
      <c r="C1" s="46"/>
      <c r="D1" s="46"/>
    </row>
    <row r="2" spans="1:4" x14ac:dyDescent="0.2">
      <c r="A2" s="34"/>
      <c r="B2" s="34"/>
      <c r="C2" s="34"/>
      <c r="D2" s="34"/>
    </row>
    <row r="3" spans="1:4" ht="15.75" x14ac:dyDescent="0.25">
      <c r="A3" s="35"/>
      <c r="B3" s="36" t="s">
        <v>25</v>
      </c>
      <c r="C3" s="37"/>
      <c r="D3" s="36" t="s">
        <v>39</v>
      </c>
    </row>
    <row r="4" spans="1:4" ht="15.75" x14ac:dyDescent="0.25">
      <c r="A4" s="35" t="s">
        <v>37</v>
      </c>
      <c r="B4" s="53">
        <v>43466</v>
      </c>
      <c r="C4" s="54"/>
      <c r="D4" s="55"/>
    </row>
    <row r="5" spans="1:4" ht="15.75" x14ac:dyDescent="0.25">
      <c r="A5" s="35" t="s">
        <v>33</v>
      </c>
      <c r="B5" s="64">
        <v>43468</v>
      </c>
      <c r="C5" s="65"/>
      <c r="D5" s="65"/>
    </row>
    <row r="6" spans="1:4" ht="15.75" x14ac:dyDescent="0.2">
      <c r="A6" s="35" t="s">
        <v>26</v>
      </c>
      <c r="B6" s="42">
        <v>43828</v>
      </c>
      <c r="C6" s="45"/>
      <c r="D6" s="42">
        <v>43828</v>
      </c>
    </row>
    <row r="7" spans="1:4" ht="15.75" x14ac:dyDescent="0.2">
      <c r="A7" s="35" t="s">
        <v>27</v>
      </c>
      <c r="B7" s="42">
        <v>43830</v>
      </c>
      <c r="C7" s="45"/>
      <c r="D7" s="42">
        <v>43830</v>
      </c>
    </row>
    <row r="8" spans="1:4" ht="15.75" x14ac:dyDescent="0.2">
      <c r="A8" s="38" t="s">
        <v>4</v>
      </c>
      <c r="B8" s="43">
        <v>50</v>
      </c>
      <c r="C8" s="45"/>
      <c r="D8" s="43">
        <v>50</v>
      </c>
    </row>
    <row r="9" spans="1:4" ht="15.75" x14ac:dyDescent="0.2">
      <c r="A9" s="35" t="s">
        <v>43</v>
      </c>
      <c r="B9" s="44">
        <v>1</v>
      </c>
      <c r="C9" s="45"/>
      <c r="D9" s="44">
        <v>1</v>
      </c>
    </row>
    <row r="10" spans="1:4" ht="15.75" x14ac:dyDescent="0.25">
      <c r="A10" s="35" t="s">
        <v>30</v>
      </c>
      <c r="B10" s="47">
        <v>50</v>
      </c>
      <c r="C10" s="48"/>
      <c r="D10" s="49"/>
    </row>
    <row r="11" spans="1:4" ht="15.75" x14ac:dyDescent="0.25">
      <c r="A11" s="35" t="s">
        <v>44</v>
      </c>
      <c r="B11" s="68">
        <v>2.45895E-2</v>
      </c>
      <c r="C11" s="69"/>
      <c r="D11" s="70"/>
    </row>
    <row r="12" spans="1:4" ht="15.75" x14ac:dyDescent="0.25">
      <c r="A12" s="35" t="s">
        <v>10</v>
      </c>
      <c r="B12" s="50">
        <v>0.79066669999999994</v>
      </c>
      <c r="C12" s="51"/>
      <c r="D12" s="52"/>
    </row>
    <row r="13" spans="1:4" ht="15.75" x14ac:dyDescent="0.25">
      <c r="A13" s="35" t="s">
        <v>28</v>
      </c>
      <c r="B13" s="41">
        <v>0.08</v>
      </c>
      <c r="C13" s="41"/>
      <c r="D13" s="41">
        <f>B13</f>
        <v>0.08</v>
      </c>
    </row>
    <row r="14" spans="1:4" ht="15" x14ac:dyDescent="0.2">
      <c r="A14" s="35"/>
      <c r="B14" s="35"/>
      <c r="C14" s="35"/>
      <c r="D14" s="35"/>
    </row>
    <row r="15" spans="1:4" ht="15.75" x14ac:dyDescent="0.25">
      <c r="A15" s="35" t="s">
        <v>45</v>
      </c>
      <c r="B15" s="39">
        <f>'Option Value '!B27</f>
        <v>1.1812428608520911</v>
      </c>
      <c r="C15" s="40"/>
      <c r="D15" s="39">
        <f>'Option Value '!B88</f>
        <v>1.1812428608520911</v>
      </c>
    </row>
    <row r="16" spans="1:4" ht="15" x14ac:dyDescent="0.2">
      <c r="A16" s="35"/>
      <c r="B16" s="35"/>
      <c r="C16" s="35"/>
      <c r="D16" s="35"/>
    </row>
    <row r="17" spans="1:4" ht="15.75" x14ac:dyDescent="0.2">
      <c r="A17" s="35" t="s">
        <v>29</v>
      </c>
      <c r="B17" s="66">
        <f>B15-D15</f>
        <v>0</v>
      </c>
      <c r="C17" s="67"/>
      <c r="D17" s="67"/>
    </row>
    <row r="18" spans="1:4" ht="15" x14ac:dyDescent="0.2">
      <c r="A18" s="35" t="s">
        <v>41</v>
      </c>
      <c r="B18" s="35"/>
      <c r="C18" s="35"/>
      <c r="D18" s="35"/>
    </row>
    <row r="19" spans="1:4" ht="15" x14ac:dyDescent="0.2">
      <c r="A19" s="35" t="s">
        <v>42</v>
      </c>
      <c r="B19" s="35"/>
      <c r="C19" s="35"/>
      <c r="D19" s="35"/>
    </row>
    <row r="20" spans="1:4" ht="15" x14ac:dyDescent="0.2">
      <c r="A20" s="35"/>
      <c r="B20" s="35"/>
      <c r="C20" s="35"/>
      <c r="D20" s="35"/>
    </row>
    <row r="21" spans="1:4" ht="15" x14ac:dyDescent="0.2">
      <c r="A21" s="35"/>
      <c r="B21" s="35"/>
      <c r="C21" s="35"/>
      <c r="D21" s="35"/>
    </row>
    <row r="22" spans="1:4" ht="15" x14ac:dyDescent="0.2">
      <c r="A22" s="35"/>
      <c r="B22" s="35"/>
      <c r="C22" s="35"/>
      <c r="D22" s="35"/>
    </row>
    <row r="23" spans="1:4" ht="12.75" customHeight="1" x14ac:dyDescent="0.2">
      <c r="A23" s="58" t="s">
        <v>38</v>
      </c>
      <c r="B23" s="59"/>
      <c r="C23" s="59"/>
      <c r="D23" s="59"/>
    </row>
    <row r="24" spans="1:4" ht="12.75" customHeight="1" x14ac:dyDescent="0.2">
      <c r="A24" s="60"/>
      <c r="B24" s="61"/>
      <c r="C24" s="61"/>
      <c r="D24" s="61"/>
    </row>
    <row r="25" spans="1:4" ht="12.75" customHeight="1" x14ac:dyDescent="0.2">
      <c r="A25" s="60"/>
      <c r="B25" s="61"/>
      <c r="C25" s="61"/>
      <c r="D25" s="61"/>
    </row>
    <row r="26" spans="1:4" ht="12.75" customHeight="1" x14ac:dyDescent="0.2">
      <c r="A26" s="60"/>
      <c r="B26" s="61"/>
      <c r="C26" s="61"/>
      <c r="D26" s="61"/>
    </row>
    <row r="27" spans="1:4" ht="12.75" customHeight="1" x14ac:dyDescent="0.2">
      <c r="A27" s="60"/>
      <c r="B27" s="61"/>
      <c r="C27" s="61"/>
      <c r="D27" s="61"/>
    </row>
    <row r="28" spans="1:4" ht="12.75" customHeight="1" x14ac:dyDescent="0.2">
      <c r="A28" s="60"/>
      <c r="B28" s="61"/>
      <c r="C28" s="61"/>
      <c r="D28" s="61"/>
    </row>
    <row r="29" spans="1:4" ht="12.75" customHeight="1" x14ac:dyDescent="0.2">
      <c r="A29" s="60"/>
      <c r="B29" s="61"/>
      <c r="C29" s="61"/>
      <c r="D29" s="61"/>
    </row>
    <row r="30" spans="1:4" ht="12.75" customHeight="1" x14ac:dyDescent="0.2">
      <c r="A30" s="60"/>
      <c r="B30" s="61"/>
      <c r="C30" s="61"/>
      <c r="D30" s="61"/>
    </row>
    <row r="31" spans="1:4" ht="12.75" customHeight="1" x14ac:dyDescent="0.2">
      <c r="A31" s="60"/>
      <c r="B31" s="61"/>
      <c r="C31" s="61"/>
      <c r="D31" s="61"/>
    </row>
    <row r="32" spans="1:4" ht="12.75" customHeight="1" x14ac:dyDescent="0.2">
      <c r="A32" s="60"/>
      <c r="B32" s="61"/>
      <c r="C32" s="61"/>
      <c r="D32" s="61"/>
    </row>
    <row r="33" spans="1:4" ht="12.75" customHeight="1" x14ac:dyDescent="0.2">
      <c r="A33" s="60"/>
      <c r="B33" s="61"/>
      <c r="C33" s="61"/>
      <c r="D33" s="61"/>
    </row>
    <row r="34" spans="1:4" ht="12.75" customHeight="1" x14ac:dyDescent="0.2">
      <c r="A34" s="60"/>
      <c r="B34" s="61"/>
      <c r="C34" s="61"/>
      <c r="D34" s="61"/>
    </row>
    <row r="35" spans="1:4" ht="12.75" customHeight="1" x14ac:dyDescent="0.2">
      <c r="A35" s="60"/>
      <c r="B35" s="61"/>
      <c r="C35" s="61"/>
      <c r="D35" s="61"/>
    </row>
    <row r="36" spans="1:4" ht="12.75" customHeight="1" x14ac:dyDescent="0.2">
      <c r="A36" s="62"/>
      <c r="B36" s="63"/>
      <c r="C36" s="63"/>
      <c r="D36" s="63"/>
    </row>
    <row r="37" spans="1:4" ht="15" x14ac:dyDescent="0.2">
      <c r="A37" s="56" t="s">
        <v>31</v>
      </c>
      <c r="B37" s="57"/>
      <c r="C37" s="57"/>
      <c r="D37" s="57"/>
    </row>
    <row r="38" spans="1:4" ht="15" x14ac:dyDescent="0.2">
      <c r="A38" s="56" t="s">
        <v>32</v>
      </c>
      <c r="B38" s="57"/>
      <c r="C38" s="57"/>
      <c r="D38" s="57"/>
    </row>
    <row r="39" spans="1:4" x14ac:dyDescent="0.2"/>
    <row r="40" spans="1:4" x14ac:dyDescent="0.2"/>
  </sheetData>
  <sheetProtection algorithmName="SHA-512" hashValue="mwlePBmFLoVGHMv2mUE4L4cww5BTlFTOsp5gZSnSlK/IYVWgHoC1y870sa0uyvj/BC21V7fHaj3Q7oX3wkSm6w==" saltValue="8DSgjL3SpW59S7lAuyjIRw==" spinCount="100000" sheet="1" objects="1" scenarios="1"/>
  <mergeCells count="10">
    <mergeCell ref="A1:D1"/>
    <mergeCell ref="B10:D10"/>
    <mergeCell ref="B12:D12"/>
    <mergeCell ref="B4:D4"/>
    <mergeCell ref="A38:D38"/>
    <mergeCell ref="A23:D36"/>
    <mergeCell ref="B5:D5"/>
    <mergeCell ref="A37:D37"/>
    <mergeCell ref="B17:D17"/>
    <mergeCell ref="B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Option Value </vt:lpstr>
      <vt:lpstr>Sheet1</vt:lpstr>
    </vt:vector>
  </TitlesOfParts>
  <Company>CGU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Black-Scholes Model for Value of Call Options Calculation</dc:title>
  <dc:creator>Jorge M. Otero</dc:creator>
  <cp:lastModifiedBy>Kamal Mishra</cp:lastModifiedBy>
  <dcterms:created xsi:type="dcterms:W3CDTF">2000-06-08T20:06:25Z</dcterms:created>
  <dcterms:modified xsi:type="dcterms:W3CDTF">2019-09-03T12:06:30Z</dcterms:modified>
</cp:coreProperties>
</file>